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herma\Documents\WALO\punten\"/>
    </mc:Choice>
  </mc:AlternateContent>
  <xr:revisionPtr revIDLastSave="0" documentId="13_ncr:1_{F9490EF4-F788-4072-BBEC-07395FB433DB}" xr6:coauthVersionLast="47" xr6:coauthVersionMax="47" xr10:uidLastSave="{00000000-0000-0000-0000-000000000000}"/>
  <bookViews>
    <workbookView xWindow="-108" yWindow="-108" windowWidth="23256" windowHeight="12576" xr2:uid="{00000000-000D-0000-FFFF-FFFF00000000}"/>
  </bookViews>
  <sheets>
    <sheet name="Puntenberekening" sheetId="6" r:id="rId1"/>
    <sheet name="Tabellen" sheetId="12" r:id="rId2"/>
    <sheet name="Puntenberekening lijst L - M" sheetId="13" r:id="rId3"/>
    <sheet name="KAVVV Records &amp; age-grading" sheetId="5" r:id="rId4"/>
    <sheet name="Voorbeelden" sheetId="1" r:id="rId5"/>
    <sheet name="Beveiliging" sheetId="11"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15" i="6" l="1"/>
  <c r="D6" i="5"/>
  <c r="J6" i="13"/>
  <c r="AE100" i="13"/>
  <c r="AH100" i="13" s="1"/>
  <c r="AK100" i="13" s="1"/>
  <c r="AD100" i="13"/>
  <c r="AC100" i="13"/>
  <c r="J100" i="13" s="1"/>
  <c r="AA100" i="13"/>
  <c r="H100" i="13"/>
  <c r="I100" i="13" s="1"/>
  <c r="R100" i="13" s="1"/>
  <c r="Y100" i="13" s="1"/>
  <c r="AE98" i="13"/>
  <c r="AD98" i="13"/>
  <c r="AC98" i="13"/>
  <c r="J98" i="13" s="1"/>
  <c r="AA98" i="13"/>
  <c r="H98" i="13"/>
  <c r="I98" i="13" s="1"/>
  <c r="R98" i="13" s="1"/>
  <c r="Y98" i="13" s="1"/>
  <c r="AE96" i="13"/>
  <c r="AH96" i="13" s="1"/>
  <c r="AK96" i="13" s="1"/>
  <c r="AD96" i="13"/>
  <c r="AC96" i="13"/>
  <c r="AA96" i="13"/>
  <c r="H96" i="13"/>
  <c r="I96" i="13" s="1"/>
  <c r="AE94" i="13"/>
  <c r="AD94" i="13"/>
  <c r="AC94" i="13"/>
  <c r="AA94" i="13"/>
  <c r="H94" i="13"/>
  <c r="I94" i="13" s="1"/>
  <c r="AE92" i="13"/>
  <c r="AH92" i="13" s="1"/>
  <c r="AK92" i="13" s="1"/>
  <c r="AD92" i="13"/>
  <c r="AC92" i="13"/>
  <c r="AA92" i="13"/>
  <c r="H92" i="13"/>
  <c r="I92" i="13" s="1"/>
  <c r="R92" i="13" s="1"/>
  <c r="Y92" i="13" s="1"/>
  <c r="AE90" i="13"/>
  <c r="AD90" i="13"/>
  <c r="AC90" i="13"/>
  <c r="AA90" i="13"/>
  <c r="H90" i="13"/>
  <c r="I90" i="13" s="1"/>
  <c r="R90" i="13" s="1"/>
  <c r="Y90" i="13" s="1"/>
  <c r="AE88" i="13"/>
  <c r="AD88" i="13"/>
  <c r="AC88" i="13"/>
  <c r="AF88" i="13" s="1"/>
  <c r="AI88" i="13" s="1"/>
  <c r="AA88" i="13"/>
  <c r="H88" i="13"/>
  <c r="I88" i="13" s="1"/>
  <c r="AE86" i="13"/>
  <c r="AD86" i="13"/>
  <c r="AC86" i="13"/>
  <c r="AA86" i="13"/>
  <c r="H86" i="13"/>
  <c r="AE84" i="13"/>
  <c r="AD84" i="13"/>
  <c r="AC84" i="13"/>
  <c r="AA84" i="13"/>
  <c r="H84" i="13"/>
  <c r="AE82" i="13"/>
  <c r="AD82" i="13"/>
  <c r="AC82" i="13"/>
  <c r="AA82" i="13"/>
  <c r="H82" i="13"/>
  <c r="I82" i="13" s="1"/>
  <c r="R82" i="13" s="1"/>
  <c r="Y82" i="13" s="1"/>
  <c r="AE80" i="13"/>
  <c r="AD80" i="13"/>
  <c r="AC80" i="13"/>
  <c r="AA80" i="13"/>
  <c r="H80" i="13"/>
  <c r="I80" i="13" s="1"/>
  <c r="AE78" i="13"/>
  <c r="AD78" i="13"/>
  <c r="AC78" i="13"/>
  <c r="AA78" i="13"/>
  <c r="H78" i="13"/>
  <c r="AE76" i="13"/>
  <c r="AD76" i="13"/>
  <c r="AC76" i="13"/>
  <c r="AA76" i="13"/>
  <c r="H76" i="13"/>
  <c r="AE74" i="13"/>
  <c r="AD74" i="13"/>
  <c r="AC74" i="13"/>
  <c r="AA74" i="13"/>
  <c r="H74" i="13"/>
  <c r="I74" i="13" s="1"/>
  <c r="R74" i="13" s="1"/>
  <c r="Y74" i="13" s="1"/>
  <c r="AE72" i="13"/>
  <c r="AD72" i="13"/>
  <c r="AC72" i="13"/>
  <c r="AA72" i="13"/>
  <c r="H72" i="13"/>
  <c r="I72" i="13" s="1"/>
  <c r="P72" i="13" s="1"/>
  <c r="W72" i="13" s="1"/>
  <c r="AE70" i="13"/>
  <c r="AD70" i="13"/>
  <c r="AC70" i="13"/>
  <c r="AA70" i="13"/>
  <c r="H70" i="13"/>
  <c r="I70" i="13" s="1"/>
  <c r="R70" i="13" s="1"/>
  <c r="Y70" i="13" s="1"/>
  <c r="AE68" i="13"/>
  <c r="AH68" i="13" s="1"/>
  <c r="AK68" i="13" s="1"/>
  <c r="AD68" i="13"/>
  <c r="AC68" i="13"/>
  <c r="AF68" i="13" s="1"/>
  <c r="AI68" i="13" s="1"/>
  <c r="AA68" i="13"/>
  <c r="H68" i="13"/>
  <c r="I68" i="13" s="1"/>
  <c r="P68" i="13" s="1"/>
  <c r="W68" i="13" s="1"/>
  <c r="AE66" i="13"/>
  <c r="AD66" i="13"/>
  <c r="AC66" i="13"/>
  <c r="AA66" i="13"/>
  <c r="H66" i="13"/>
  <c r="I66" i="13" s="1"/>
  <c r="R66" i="13" s="1"/>
  <c r="Y66" i="13" s="1"/>
  <c r="AE64" i="13"/>
  <c r="AH64" i="13" s="1"/>
  <c r="AK64" i="13" s="1"/>
  <c r="AD64" i="13"/>
  <c r="AC64" i="13"/>
  <c r="J64" i="13" s="1"/>
  <c r="AA64" i="13"/>
  <c r="H64" i="13"/>
  <c r="I64" i="13" s="1"/>
  <c r="P64" i="13" s="1"/>
  <c r="W64" i="13" s="1"/>
  <c r="AE62" i="13"/>
  <c r="AD62" i="13"/>
  <c r="AC62" i="13"/>
  <c r="AA62" i="13"/>
  <c r="H62" i="13"/>
  <c r="I62" i="13" s="1"/>
  <c r="N62" i="13" s="1"/>
  <c r="U62" i="13" s="1"/>
  <c r="AE60" i="13"/>
  <c r="AH60" i="13" s="1"/>
  <c r="AK60" i="13" s="1"/>
  <c r="AD60" i="13"/>
  <c r="AC60" i="13"/>
  <c r="AA60" i="13"/>
  <c r="H60" i="13"/>
  <c r="I60" i="13" s="1"/>
  <c r="P60" i="13" s="1"/>
  <c r="W60" i="13" s="1"/>
  <c r="AE58" i="13"/>
  <c r="AD58" i="13"/>
  <c r="AC58" i="13"/>
  <c r="AA58" i="13"/>
  <c r="H58" i="13"/>
  <c r="I58" i="13" s="1"/>
  <c r="N58" i="13" s="1"/>
  <c r="U58" i="13" s="1"/>
  <c r="AE56" i="13"/>
  <c r="AH56" i="13" s="1"/>
  <c r="AK56" i="13" s="1"/>
  <c r="AD56" i="13"/>
  <c r="AC56" i="13"/>
  <c r="AA56" i="13"/>
  <c r="H56" i="13"/>
  <c r="I56" i="13" s="1"/>
  <c r="P56" i="13" s="1"/>
  <c r="W56" i="13" s="1"/>
  <c r="AE54" i="13"/>
  <c r="AH54" i="13" s="1"/>
  <c r="AK54" i="13" s="1"/>
  <c r="AD54" i="13"/>
  <c r="AC54" i="13"/>
  <c r="AA54" i="13"/>
  <c r="H54" i="13"/>
  <c r="I54" i="13" s="1"/>
  <c r="P54" i="13" s="1"/>
  <c r="W54" i="13" s="1"/>
  <c r="AE52" i="13"/>
  <c r="AD52" i="13"/>
  <c r="AC52" i="13"/>
  <c r="AA52" i="13"/>
  <c r="H52" i="13"/>
  <c r="I52" i="13" s="1"/>
  <c r="P52" i="13" s="1"/>
  <c r="W52" i="13" s="1"/>
  <c r="AE50" i="13"/>
  <c r="AD50" i="13"/>
  <c r="AC50" i="13"/>
  <c r="AA50" i="13"/>
  <c r="H50" i="13"/>
  <c r="I50" i="13" s="1"/>
  <c r="P50" i="13" s="1"/>
  <c r="W50" i="13" s="1"/>
  <c r="AE48" i="13"/>
  <c r="AD48" i="13"/>
  <c r="AC48" i="13"/>
  <c r="AA48" i="13"/>
  <c r="H48" i="13"/>
  <c r="I48" i="13" s="1"/>
  <c r="P48" i="13" s="1"/>
  <c r="W48" i="13" s="1"/>
  <c r="AE46" i="13"/>
  <c r="AH46" i="13" s="1"/>
  <c r="AK46" i="13" s="1"/>
  <c r="AD46" i="13"/>
  <c r="AC46" i="13"/>
  <c r="AA46" i="13"/>
  <c r="H46" i="13"/>
  <c r="I46" i="13" s="1"/>
  <c r="P46" i="13" s="1"/>
  <c r="W46" i="13" s="1"/>
  <c r="AE44" i="13"/>
  <c r="AH44" i="13" s="1"/>
  <c r="AK44" i="13" s="1"/>
  <c r="AD44" i="13"/>
  <c r="AC44" i="13"/>
  <c r="AA44" i="13"/>
  <c r="H44" i="13"/>
  <c r="I44" i="13" s="1"/>
  <c r="P44" i="13" s="1"/>
  <c r="W44" i="13" s="1"/>
  <c r="AE42" i="13"/>
  <c r="AD42" i="13"/>
  <c r="AC42" i="13"/>
  <c r="AA42" i="13"/>
  <c r="H42" i="13"/>
  <c r="I42" i="13" s="1"/>
  <c r="N42" i="13" s="1"/>
  <c r="U42" i="13" s="1"/>
  <c r="AE40" i="13"/>
  <c r="AH40" i="13" s="1"/>
  <c r="AK40" i="13" s="1"/>
  <c r="AD40" i="13"/>
  <c r="AC40" i="13"/>
  <c r="AA40" i="13"/>
  <c r="H40" i="13"/>
  <c r="I40" i="13" s="1"/>
  <c r="N40" i="13" s="1"/>
  <c r="U40" i="13" s="1"/>
  <c r="AE38" i="13"/>
  <c r="AH38" i="13" s="1"/>
  <c r="AK38" i="13" s="1"/>
  <c r="AD38" i="13"/>
  <c r="AC38" i="13"/>
  <c r="AA38" i="13"/>
  <c r="H38" i="13"/>
  <c r="I38" i="13" s="1"/>
  <c r="N38" i="13" s="1"/>
  <c r="U38" i="13" s="1"/>
  <c r="AE36" i="13"/>
  <c r="AD36" i="13"/>
  <c r="AC36" i="13"/>
  <c r="AA36" i="13"/>
  <c r="H36" i="13"/>
  <c r="I36" i="13" s="1"/>
  <c r="N36" i="13" s="1"/>
  <c r="U36" i="13" s="1"/>
  <c r="AE34" i="13"/>
  <c r="AD34" i="13"/>
  <c r="AC34" i="13"/>
  <c r="AA34" i="13"/>
  <c r="H34" i="13"/>
  <c r="I34" i="13" s="1"/>
  <c r="N34" i="13" s="1"/>
  <c r="U34" i="13" s="1"/>
  <c r="AE32" i="13"/>
  <c r="AD32" i="13"/>
  <c r="AC32" i="13"/>
  <c r="AA32" i="13"/>
  <c r="H32" i="13"/>
  <c r="I32" i="13" s="1"/>
  <c r="N32" i="13" s="1"/>
  <c r="U32" i="13" s="1"/>
  <c r="AE30" i="13"/>
  <c r="AH30" i="13" s="1"/>
  <c r="AK30" i="13" s="1"/>
  <c r="AD30" i="13"/>
  <c r="AC30" i="13"/>
  <c r="AA30" i="13"/>
  <c r="H30" i="13"/>
  <c r="I30" i="13" s="1"/>
  <c r="N30" i="13" s="1"/>
  <c r="U30" i="13" s="1"/>
  <c r="AE28" i="13"/>
  <c r="AD28" i="13"/>
  <c r="AC28" i="13"/>
  <c r="AA28" i="13"/>
  <c r="H28" i="13"/>
  <c r="I28" i="13" s="1"/>
  <c r="N28" i="13" s="1"/>
  <c r="U28" i="13" s="1"/>
  <c r="AE26" i="13"/>
  <c r="AG26" i="13" s="1"/>
  <c r="AJ26" i="13" s="1"/>
  <c r="AD26" i="13"/>
  <c r="AC26" i="13"/>
  <c r="AF26" i="13" s="1"/>
  <c r="AI26" i="13" s="1"/>
  <c r="AA26" i="13"/>
  <c r="H26" i="13"/>
  <c r="I26" i="13" s="1"/>
  <c r="R26" i="13" s="1"/>
  <c r="Y26" i="13" s="1"/>
  <c r="AE24" i="13"/>
  <c r="AH24" i="13" s="1"/>
  <c r="AK24" i="13" s="1"/>
  <c r="AD24" i="13"/>
  <c r="AC24" i="13"/>
  <c r="AA24" i="13"/>
  <c r="H24" i="13"/>
  <c r="I24" i="13" s="1"/>
  <c r="R24" i="13" s="1"/>
  <c r="Y24" i="13" s="1"/>
  <c r="AE22" i="13"/>
  <c r="AG22" i="13" s="1"/>
  <c r="AJ22" i="13" s="1"/>
  <c r="AD22" i="13"/>
  <c r="AC22" i="13"/>
  <c r="AA22" i="13"/>
  <c r="H22" i="13"/>
  <c r="I22" i="13" s="1"/>
  <c r="R22" i="13" s="1"/>
  <c r="Y22" i="13" s="1"/>
  <c r="AF38" i="13" l="1"/>
  <c r="AI38" i="13" s="1"/>
  <c r="AF74" i="13"/>
  <c r="AI74" i="13" s="1"/>
  <c r="AF90" i="13"/>
  <c r="AI90" i="13" s="1"/>
  <c r="J30" i="13"/>
  <c r="AF72" i="13"/>
  <c r="AI72" i="13" s="1"/>
  <c r="P36" i="13"/>
  <c r="W36" i="13" s="1"/>
  <c r="AG36" i="13"/>
  <c r="AJ36" i="13" s="1"/>
  <c r="AF40" i="13"/>
  <c r="AI40" i="13" s="1"/>
  <c r="AL40" i="13" s="1"/>
  <c r="AM40" i="13" s="1"/>
  <c r="AG82" i="13"/>
  <c r="AJ82" i="13" s="1"/>
  <c r="AF86" i="13"/>
  <c r="AI86" i="13" s="1"/>
  <c r="AF34" i="13"/>
  <c r="AI34" i="13" s="1"/>
  <c r="J60" i="13"/>
  <c r="R62" i="13"/>
  <c r="Y62" i="13" s="1"/>
  <c r="AF64" i="13"/>
  <c r="AI64" i="13" s="1"/>
  <c r="AF78" i="13"/>
  <c r="AI78" i="13" s="1"/>
  <c r="J80" i="13"/>
  <c r="J48" i="13"/>
  <c r="J50" i="13"/>
  <c r="AF82" i="13"/>
  <c r="AI82" i="13" s="1"/>
  <c r="AL82" i="13" s="1"/>
  <c r="AM82" i="13" s="1"/>
  <c r="AG86" i="13"/>
  <c r="AJ86" i="13" s="1"/>
  <c r="AF96" i="13"/>
  <c r="AI96" i="13" s="1"/>
  <c r="AF32" i="13"/>
  <c r="AI32" i="13" s="1"/>
  <c r="J56" i="13"/>
  <c r="J76" i="13"/>
  <c r="AF84" i="13"/>
  <c r="AI84" i="13" s="1"/>
  <c r="J92" i="13"/>
  <c r="N24" i="13"/>
  <c r="U24" i="13" s="1"/>
  <c r="P34" i="13"/>
  <c r="W34" i="13" s="1"/>
  <c r="AF42" i="13"/>
  <c r="AI42" i="13" s="1"/>
  <c r="AF52" i="13"/>
  <c r="AI52" i="13" s="1"/>
  <c r="AF56" i="13"/>
  <c r="AI56" i="13" s="1"/>
  <c r="AF60" i="13"/>
  <c r="AI60" i="13" s="1"/>
  <c r="N66" i="13"/>
  <c r="U66" i="13" s="1"/>
  <c r="AG74" i="13"/>
  <c r="AJ74" i="13" s="1"/>
  <c r="J78" i="13"/>
  <c r="AH82" i="13"/>
  <c r="AK82" i="13" s="1"/>
  <c r="AH86" i="13"/>
  <c r="AK86" i="13" s="1"/>
  <c r="AG90" i="13"/>
  <c r="AJ90" i="13" s="1"/>
  <c r="AG94" i="13"/>
  <c r="AJ94" i="13" s="1"/>
  <c r="N22" i="13"/>
  <c r="U22" i="13" s="1"/>
  <c r="AF22" i="13"/>
  <c r="AI22" i="13" s="1"/>
  <c r="J26" i="13"/>
  <c r="P28" i="13"/>
  <c r="W28" i="13" s="1"/>
  <c r="AG28" i="13"/>
  <c r="AJ28" i="13" s="1"/>
  <c r="AG32" i="13"/>
  <c r="AJ32" i="13" s="1"/>
  <c r="P42" i="13"/>
  <c r="W42" i="13" s="1"/>
  <c r="J42" i="13"/>
  <c r="AF46" i="13"/>
  <c r="AI46" i="13" s="1"/>
  <c r="AG48" i="13"/>
  <c r="AJ48" i="13" s="1"/>
  <c r="AG52" i="13"/>
  <c r="AJ52" i="13" s="1"/>
  <c r="N70" i="13"/>
  <c r="U70" i="13" s="1"/>
  <c r="J72" i="13"/>
  <c r="AF76" i="13"/>
  <c r="AI76" i="13" s="1"/>
  <c r="AF80" i="13"/>
  <c r="AI80" i="13" s="1"/>
  <c r="AG84" i="13"/>
  <c r="AJ84" i="13" s="1"/>
  <c r="AG88" i="13"/>
  <c r="AJ88" i="13" s="1"/>
  <c r="AF92" i="13"/>
  <c r="AI92" i="13" s="1"/>
  <c r="AH94" i="13"/>
  <c r="AK94" i="13" s="1"/>
  <c r="AG98" i="13"/>
  <c r="AJ98" i="13" s="1"/>
  <c r="AF100" i="13"/>
  <c r="AI100" i="13" s="1"/>
  <c r="AG24" i="13"/>
  <c r="AJ24" i="13" s="1"/>
  <c r="AF28" i="13"/>
  <c r="AI28" i="13" s="1"/>
  <c r="AG34" i="13"/>
  <c r="AJ34" i="13" s="1"/>
  <c r="AG44" i="13"/>
  <c r="AJ44" i="13" s="1"/>
  <c r="AF48" i="13"/>
  <c r="AI48" i="13" s="1"/>
  <c r="AG78" i="13"/>
  <c r="AJ78" i="13" s="1"/>
  <c r="AF98" i="13"/>
  <c r="AI98" i="13" s="1"/>
  <c r="Q22" i="13"/>
  <c r="X22" i="13" s="1"/>
  <c r="J24" i="13"/>
  <c r="AF30" i="13"/>
  <c r="AI30" i="13" s="1"/>
  <c r="AH32" i="13"/>
  <c r="AK32" i="13" s="1"/>
  <c r="AF36" i="13"/>
  <c r="AI36" i="13" s="1"/>
  <c r="AG40" i="13"/>
  <c r="AJ40" i="13" s="1"/>
  <c r="AH42" i="13"/>
  <c r="AK42" i="13" s="1"/>
  <c r="AF50" i="13"/>
  <c r="AI50" i="13" s="1"/>
  <c r="AH52" i="13"/>
  <c r="AK52" i="13" s="1"/>
  <c r="AG76" i="13"/>
  <c r="AJ76" i="13" s="1"/>
  <c r="AG80" i="13"/>
  <c r="AJ80" i="13" s="1"/>
  <c r="AH84" i="13"/>
  <c r="AK84" i="13" s="1"/>
  <c r="AH88" i="13"/>
  <c r="AK88" i="13" s="1"/>
  <c r="AL88" i="13" s="1"/>
  <c r="AM88" i="13" s="1"/>
  <c r="AF94" i="13"/>
  <c r="AI94" i="13" s="1"/>
  <c r="AG96" i="13"/>
  <c r="AJ96" i="13" s="1"/>
  <c r="Q24" i="13"/>
  <c r="X24" i="13" s="1"/>
  <c r="AF24" i="13"/>
  <c r="AI24" i="13" s="1"/>
  <c r="AH26" i="13"/>
  <c r="AK26" i="13" s="1"/>
  <c r="AL26" i="13" s="1"/>
  <c r="AM26" i="13" s="1"/>
  <c r="P30" i="13"/>
  <c r="W30" i="13" s="1"/>
  <c r="AG30" i="13"/>
  <c r="AJ30" i="13" s="1"/>
  <c r="J32" i="13"/>
  <c r="AH34" i="13"/>
  <c r="AK34" i="13" s="1"/>
  <c r="P38" i="13"/>
  <c r="W38" i="13" s="1"/>
  <c r="AG38" i="13"/>
  <c r="AJ38" i="13" s="1"/>
  <c r="AL38" i="13" s="1"/>
  <c r="AM38" i="13" s="1"/>
  <c r="J40" i="13"/>
  <c r="AF44" i="13"/>
  <c r="AI44" i="13" s="1"/>
  <c r="AH48" i="13"/>
  <c r="AK48" i="13" s="1"/>
  <c r="AH50" i="13"/>
  <c r="AK50" i="13" s="1"/>
  <c r="AF54" i="13"/>
  <c r="AI54" i="13" s="1"/>
  <c r="R58" i="13"/>
  <c r="Y58" i="13" s="1"/>
  <c r="AH72" i="13"/>
  <c r="AK72" i="13" s="1"/>
  <c r="J82" i="13"/>
  <c r="AG92" i="13"/>
  <c r="AJ92" i="13" s="1"/>
  <c r="J38" i="13"/>
  <c r="N26" i="13"/>
  <c r="U26" i="13" s="1"/>
  <c r="AH28" i="13"/>
  <c r="AK28" i="13" s="1"/>
  <c r="P32" i="13"/>
  <c r="W32" i="13" s="1"/>
  <c r="J34" i="13"/>
  <c r="AH36" i="13"/>
  <c r="AK36" i="13" s="1"/>
  <c r="P40" i="13"/>
  <c r="W40" i="13" s="1"/>
  <c r="J68" i="13"/>
  <c r="AH74" i="13"/>
  <c r="AK74" i="13" s="1"/>
  <c r="AH76" i="13"/>
  <c r="AK76" i="13" s="1"/>
  <c r="AH78" i="13"/>
  <c r="AK78" i="13" s="1"/>
  <c r="AH80" i="13"/>
  <c r="AK80" i="13" s="1"/>
  <c r="J84" i="13"/>
  <c r="J86" i="13"/>
  <c r="J88" i="13"/>
  <c r="AH90" i="13"/>
  <c r="AK90" i="13" s="1"/>
  <c r="J94" i="13"/>
  <c r="J96" i="13"/>
  <c r="AH98" i="13"/>
  <c r="AK98" i="13" s="1"/>
  <c r="Q26" i="13"/>
  <c r="X26" i="13" s="1"/>
  <c r="J28" i="13"/>
  <c r="J36" i="13"/>
  <c r="J74" i="13"/>
  <c r="J90" i="13"/>
  <c r="J22" i="13"/>
  <c r="AH22" i="13"/>
  <c r="AK22" i="13" s="1"/>
  <c r="S44" i="13"/>
  <c r="Z44" i="13" s="1"/>
  <c r="O44" i="13"/>
  <c r="V44" i="13" s="1"/>
  <c r="R44" i="13"/>
  <c r="Y44" i="13" s="1"/>
  <c r="L44" i="13" s="1"/>
  <c r="N44" i="13"/>
  <c r="U44" i="13" s="1"/>
  <c r="Q44" i="13"/>
  <c r="X44" i="13" s="1"/>
  <c r="J46" i="13"/>
  <c r="S52" i="13"/>
  <c r="Z52" i="13" s="1"/>
  <c r="L52" i="13" s="1"/>
  <c r="O52" i="13"/>
  <c r="V52" i="13" s="1"/>
  <c r="R52" i="13"/>
  <c r="Y52" i="13" s="1"/>
  <c r="N52" i="13"/>
  <c r="U52" i="13" s="1"/>
  <c r="Q52" i="13"/>
  <c r="X52" i="13" s="1"/>
  <c r="J54" i="13"/>
  <c r="J66" i="13"/>
  <c r="AF66" i="13"/>
  <c r="AI66" i="13" s="1"/>
  <c r="S72" i="13"/>
  <c r="Z72" i="13" s="1"/>
  <c r="O72" i="13"/>
  <c r="V72" i="13" s="1"/>
  <c r="N72" i="13"/>
  <c r="U72" i="13" s="1"/>
  <c r="R72" i="13"/>
  <c r="Y72" i="13" s="1"/>
  <c r="Q72" i="13"/>
  <c r="X72" i="13" s="1"/>
  <c r="S24" i="13"/>
  <c r="Z24" i="13" s="1"/>
  <c r="O24" i="13"/>
  <c r="V24" i="13" s="1"/>
  <c r="P24" i="13"/>
  <c r="W24" i="13" s="1"/>
  <c r="L24" i="13" s="1"/>
  <c r="AG42" i="13"/>
  <c r="AJ42" i="13" s="1"/>
  <c r="J44" i="13"/>
  <c r="S50" i="13"/>
  <c r="Z50" i="13" s="1"/>
  <c r="O50" i="13"/>
  <c r="V50" i="13" s="1"/>
  <c r="R50" i="13"/>
  <c r="Y50" i="13" s="1"/>
  <c r="N50" i="13"/>
  <c r="U50" i="13" s="1"/>
  <c r="Q50" i="13"/>
  <c r="X50" i="13" s="1"/>
  <c r="AG50" i="13"/>
  <c r="AJ50" i="13" s="1"/>
  <c r="J52" i="13"/>
  <c r="J70" i="13"/>
  <c r="AF70" i="13"/>
  <c r="AI70" i="13" s="1"/>
  <c r="Q96" i="13"/>
  <c r="X96" i="13" s="1"/>
  <c r="P96" i="13"/>
  <c r="W96" i="13" s="1"/>
  <c r="S96" i="13"/>
  <c r="Z96" i="13" s="1"/>
  <c r="O96" i="13"/>
  <c r="V96" i="13" s="1"/>
  <c r="N96" i="13"/>
  <c r="U96" i="13" s="1"/>
  <c r="R96" i="13"/>
  <c r="Y96" i="13" s="1"/>
  <c r="Q80" i="13"/>
  <c r="X80" i="13" s="1"/>
  <c r="S80" i="13"/>
  <c r="Z80" i="13" s="1"/>
  <c r="O80" i="13"/>
  <c r="V80" i="13" s="1"/>
  <c r="N80" i="13"/>
  <c r="U80" i="13" s="1"/>
  <c r="R80" i="13"/>
  <c r="Y80" i="13" s="1"/>
  <c r="P80" i="13"/>
  <c r="W80" i="13" s="1"/>
  <c r="S48" i="13"/>
  <c r="Z48" i="13" s="1"/>
  <c r="O48" i="13"/>
  <c r="V48" i="13" s="1"/>
  <c r="R48" i="13"/>
  <c r="Y48" i="13" s="1"/>
  <c r="L48" i="13" s="1"/>
  <c r="N48" i="13"/>
  <c r="U48" i="13" s="1"/>
  <c r="Q48" i="13"/>
  <c r="X48" i="13" s="1"/>
  <c r="S56" i="13"/>
  <c r="Z56" i="13" s="1"/>
  <c r="O56" i="13"/>
  <c r="V56" i="13" s="1"/>
  <c r="R56" i="13"/>
  <c r="Y56" i="13" s="1"/>
  <c r="N56" i="13"/>
  <c r="U56" i="13" s="1"/>
  <c r="Q56" i="13"/>
  <c r="X56" i="13" s="1"/>
  <c r="S60" i="13"/>
  <c r="Z60" i="13" s="1"/>
  <c r="O60" i="13"/>
  <c r="V60" i="13" s="1"/>
  <c r="N60" i="13"/>
  <c r="U60" i="13" s="1"/>
  <c r="R60" i="13"/>
  <c r="Y60" i="13" s="1"/>
  <c r="Q60" i="13"/>
  <c r="X60" i="13" s="1"/>
  <c r="S64" i="13"/>
  <c r="Z64" i="13" s="1"/>
  <c r="O64" i="13"/>
  <c r="V64" i="13" s="1"/>
  <c r="N64" i="13"/>
  <c r="U64" i="13" s="1"/>
  <c r="R64" i="13"/>
  <c r="Y64" i="13" s="1"/>
  <c r="Q64" i="13"/>
  <c r="X64" i="13" s="1"/>
  <c r="S22" i="13"/>
  <c r="Z22" i="13" s="1"/>
  <c r="O22" i="13"/>
  <c r="V22" i="13" s="1"/>
  <c r="P22" i="13"/>
  <c r="W22" i="13" s="1"/>
  <c r="S26" i="13"/>
  <c r="Z26" i="13" s="1"/>
  <c r="O26" i="13"/>
  <c r="V26" i="13" s="1"/>
  <c r="P26" i="13"/>
  <c r="W26" i="13" s="1"/>
  <c r="L26" i="13" s="1"/>
  <c r="S28" i="13"/>
  <c r="Z28" i="13" s="1"/>
  <c r="O28" i="13"/>
  <c r="V28" i="13" s="1"/>
  <c r="Q28" i="13"/>
  <c r="X28" i="13" s="1"/>
  <c r="R28" i="13"/>
  <c r="Y28" i="13" s="1"/>
  <c r="L28" i="13" s="1"/>
  <c r="S30" i="13"/>
  <c r="Z30" i="13" s="1"/>
  <c r="O30" i="13"/>
  <c r="V30" i="13" s="1"/>
  <c r="Q30" i="13"/>
  <c r="X30" i="13" s="1"/>
  <c r="R30" i="13"/>
  <c r="Y30" i="13" s="1"/>
  <c r="L30" i="13" s="1"/>
  <c r="S32" i="13"/>
  <c r="Z32" i="13" s="1"/>
  <c r="O32" i="13"/>
  <c r="V32" i="13" s="1"/>
  <c r="Q32" i="13"/>
  <c r="X32" i="13" s="1"/>
  <c r="R32" i="13"/>
  <c r="Y32" i="13" s="1"/>
  <c r="L32" i="13" s="1"/>
  <c r="S34" i="13"/>
  <c r="Z34" i="13" s="1"/>
  <c r="O34" i="13"/>
  <c r="V34" i="13" s="1"/>
  <c r="Q34" i="13"/>
  <c r="X34" i="13" s="1"/>
  <c r="R34" i="13"/>
  <c r="Y34" i="13" s="1"/>
  <c r="L34" i="13" s="1"/>
  <c r="S36" i="13"/>
  <c r="Z36" i="13" s="1"/>
  <c r="O36" i="13"/>
  <c r="V36" i="13" s="1"/>
  <c r="Q36" i="13"/>
  <c r="X36" i="13" s="1"/>
  <c r="R36" i="13"/>
  <c r="Y36" i="13" s="1"/>
  <c r="L36" i="13" s="1"/>
  <c r="S38" i="13"/>
  <c r="Z38" i="13" s="1"/>
  <c r="O38" i="13"/>
  <c r="V38" i="13" s="1"/>
  <c r="Q38" i="13"/>
  <c r="X38" i="13" s="1"/>
  <c r="R38" i="13"/>
  <c r="Y38" i="13" s="1"/>
  <c r="L38" i="13" s="1"/>
  <c r="S40" i="13"/>
  <c r="Z40" i="13" s="1"/>
  <c r="O40" i="13"/>
  <c r="V40" i="13" s="1"/>
  <c r="Q40" i="13"/>
  <c r="X40" i="13" s="1"/>
  <c r="R40" i="13"/>
  <c r="Y40" i="13" s="1"/>
  <c r="L40" i="13" s="1"/>
  <c r="S42" i="13"/>
  <c r="Z42" i="13" s="1"/>
  <c r="O42" i="13"/>
  <c r="V42" i="13" s="1"/>
  <c r="Q42" i="13"/>
  <c r="X42" i="13" s="1"/>
  <c r="R42" i="13"/>
  <c r="Y42" i="13" s="1"/>
  <c r="S46" i="13"/>
  <c r="Z46" i="13" s="1"/>
  <c r="O46" i="13"/>
  <c r="V46" i="13" s="1"/>
  <c r="R46" i="13"/>
  <c r="Y46" i="13" s="1"/>
  <c r="N46" i="13"/>
  <c r="U46" i="13" s="1"/>
  <c r="Q46" i="13"/>
  <c r="X46" i="13" s="1"/>
  <c r="AG46" i="13"/>
  <c r="AJ46" i="13" s="1"/>
  <c r="S54" i="13"/>
  <c r="Z54" i="13" s="1"/>
  <c r="O54" i="13"/>
  <c r="V54" i="13" s="1"/>
  <c r="R54" i="13"/>
  <c r="Y54" i="13" s="1"/>
  <c r="N54" i="13"/>
  <c r="U54" i="13" s="1"/>
  <c r="Q54" i="13"/>
  <c r="X54" i="13" s="1"/>
  <c r="AG54" i="13"/>
  <c r="AJ54" i="13" s="1"/>
  <c r="J58" i="13"/>
  <c r="AF58" i="13"/>
  <c r="AI58" i="13" s="1"/>
  <c r="J62" i="13"/>
  <c r="AF62" i="13"/>
  <c r="AI62" i="13" s="1"/>
  <c r="S68" i="13"/>
  <c r="Z68" i="13" s="1"/>
  <c r="O68" i="13"/>
  <c r="V68" i="13" s="1"/>
  <c r="N68" i="13"/>
  <c r="U68" i="13" s="1"/>
  <c r="R68" i="13"/>
  <c r="Y68" i="13" s="1"/>
  <c r="Q68" i="13"/>
  <c r="X68" i="13" s="1"/>
  <c r="L80" i="13"/>
  <c r="Q88" i="13"/>
  <c r="X88" i="13" s="1"/>
  <c r="S88" i="13"/>
  <c r="Z88" i="13" s="1"/>
  <c r="O88" i="13"/>
  <c r="V88" i="13" s="1"/>
  <c r="N88" i="13"/>
  <c r="U88" i="13" s="1"/>
  <c r="R88" i="13"/>
  <c r="Y88" i="13" s="1"/>
  <c r="P88" i="13"/>
  <c r="W88" i="13" s="1"/>
  <c r="L88" i="13" s="1"/>
  <c r="AG58" i="13"/>
  <c r="AJ58" i="13" s="1"/>
  <c r="AG62" i="13"/>
  <c r="AJ62" i="13" s="1"/>
  <c r="AG66" i="13"/>
  <c r="AJ66" i="13" s="1"/>
  <c r="AG70" i="13"/>
  <c r="AJ70" i="13" s="1"/>
  <c r="Q74" i="13"/>
  <c r="X74" i="13" s="1"/>
  <c r="S74" i="13"/>
  <c r="Z74" i="13" s="1"/>
  <c r="O74" i="13"/>
  <c r="V74" i="13" s="1"/>
  <c r="N74" i="13"/>
  <c r="U74" i="13" s="1"/>
  <c r="Q82" i="13"/>
  <c r="X82" i="13" s="1"/>
  <c r="S82" i="13"/>
  <c r="Z82" i="13" s="1"/>
  <c r="O82" i="13"/>
  <c r="V82" i="13" s="1"/>
  <c r="N82" i="13"/>
  <c r="U82" i="13" s="1"/>
  <c r="Q90" i="13"/>
  <c r="X90" i="13" s="1"/>
  <c r="S90" i="13"/>
  <c r="Z90" i="13" s="1"/>
  <c r="O90" i="13"/>
  <c r="V90" i="13" s="1"/>
  <c r="N90" i="13"/>
  <c r="U90" i="13" s="1"/>
  <c r="Q94" i="13"/>
  <c r="X94" i="13" s="1"/>
  <c r="P94" i="13"/>
  <c r="W94" i="13" s="1"/>
  <c r="S94" i="13"/>
  <c r="Z94" i="13" s="1"/>
  <c r="O94" i="13"/>
  <c r="V94" i="13" s="1"/>
  <c r="N94" i="13"/>
  <c r="U94" i="13" s="1"/>
  <c r="S58" i="13"/>
  <c r="Z58" i="13" s="1"/>
  <c r="O58" i="13"/>
  <c r="V58" i="13" s="1"/>
  <c r="P58" i="13"/>
  <c r="W58" i="13" s="1"/>
  <c r="S62" i="13"/>
  <c r="Z62" i="13" s="1"/>
  <c r="O62" i="13"/>
  <c r="V62" i="13" s="1"/>
  <c r="P62" i="13"/>
  <c r="W62" i="13" s="1"/>
  <c r="S66" i="13"/>
  <c r="Z66" i="13" s="1"/>
  <c r="O66" i="13"/>
  <c r="V66" i="13" s="1"/>
  <c r="P66" i="13"/>
  <c r="W66" i="13" s="1"/>
  <c r="S70" i="13"/>
  <c r="Z70" i="13" s="1"/>
  <c r="O70" i="13"/>
  <c r="V70" i="13" s="1"/>
  <c r="P70" i="13"/>
  <c r="W70" i="13" s="1"/>
  <c r="I76" i="13"/>
  <c r="I84" i="13"/>
  <c r="Q92" i="13"/>
  <c r="X92" i="13" s="1"/>
  <c r="P92" i="13"/>
  <c r="W92" i="13" s="1"/>
  <c r="S92" i="13"/>
  <c r="Z92" i="13" s="1"/>
  <c r="O92" i="13"/>
  <c r="V92" i="13" s="1"/>
  <c r="N92" i="13"/>
  <c r="U92" i="13" s="1"/>
  <c r="AG56" i="13"/>
  <c r="AJ56" i="13" s="1"/>
  <c r="AL56" i="13" s="1"/>
  <c r="AM56" i="13" s="1"/>
  <c r="L56" i="13" s="1"/>
  <c r="Q58" i="13"/>
  <c r="X58" i="13" s="1"/>
  <c r="AH58" i="13"/>
  <c r="AK58" i="13" s="1"/>
  <c r="AG60" i="13"/>
  <c r="AJ60" i="13" s="1"/>
  <c r="Q62" i="13"/>
  <c r="X62" i="13" s="1"/>
  <c r="AH62" i="13"/>
  <c r="AK62" i="13" s="1"/>
  <c r="AG64" i="13"/>
  <c r="AJ64" i="13" s="1"/>
  <c r="Q66" i="13"/>
  <c r="X66" i="13" s="1"/>
  <c r="AH66" i="13"/>
  <c r="AK66" i="13" s="1"/>
  <c r="AG68" i="13"/>
  <c r="AJ68" i="13" s="1"/>
  <c r="AL68" i="13" s="1"/>
  <c r="AM68" i="13" s="1"/>
  <c r="Q70" i="13"/>
  <c r="X70" i="13" s="1"/>
  <c r="AH70" i="13"/>
  <c r="AK70" i="13" s="1"/>
  <c r="AG72" i="13"/>
  <c r="AJ72" i="13" s="1"/>
  <c r="P74" i="13"/>
  <c r="W74" i="13" s="1"/>
  <c r="L74" i="13" s="1"/>
  <c r="I78" i="13"/>
  <c r="P82" i="13"/>
  <c r="W82" i="13" s="1"/>
  <c r="L82" i="13" s="1"/>
  <c r="I86" i="13"/>
  <c r="P90" i="13"/>
  <c r="W90" i="13" s="1"/>
  <c r="R94" i="13"/>
  <c r="Y94" i="13" s="1"/>
  <c r="Q98" i="13"/>
  <c r="X98" i="13" s="1"/>
  <c r="P98" i="13"/>
  <c r="W98" i="13" s="1"/>
  <c r="S98" i="13"/>
  <c r="Z98" i="13" s="1"/>
  <c r="O98" i="13"/>
  <c r="V98" i="13" s="1"/>
  <c r="Q100" i="13"/>
  <c r="X100" i="13" s="1"/>
  <c r="P100" i="13"/>
  <c r="W100" i="13" s="1"/>
  <c r="S100" i="13"/>
  <c r="Z100" i="13" s="1"/>
  <c r="O100" i="13"/>
  <c r="V100" i="13" s="1"/>
  <c r="AL98" i="13"/>
  <c r="AM98" i="13" s="1"/>
  <c r="N98" i="13"/>
  <c r="U98" i="13" s="1"/>
  <c r="N100" i="13"/>
  <c r="U100" i="13" s="1"/>
  <c r="AG100" i="13"/>
  <c r="AJ100" i="13" s="1"/>
  <c r="AL100" i="13" s="1"/>
  <c r="AM100" i="13" s="1"/>
  <c r="AL60" i="13" l="1"/>
  <c r="AM60" i="13" s="1"/>
  <c r="L60" i="13" s="1"/>
  <c r="AL54" i="13"/>
  <c r="AM54" i="13" s="1"/>
  <c r="L54" i="13" s="1"/>
  <c r="AL36" i="13"/>
  <c r="AM36" i="13" s="1"/>
  <c r="AL46" i="13"/>
  <c r="AM46" i="13" s="1"/>
  <c r="L46" i="13" s="1"/>
  <c r="AL94" i="13"/>
  <c r="AM94" i="13" s="1"/>
  <c r="L94" i="13" s="1"/>
  <c r="AL92" i="13"/>
  <c r="AM92" i="13" s="1"/>
  <c r="AL86" i="13"/>
  <c r="AM86" i="13" s="1"/>
  <c r="AL96" i="13"/>
  <c r="AM96" i="13" s="1"/>
  <c r="AL90" i="13"/>
  <c r="AM90" i="13" s="1"/>
  <c r="L90" i="13" s="1"/>
  <c r="AL78" i="13"/>
  <c r="AM78" i="13" s="1"/>
  <c r="AL42" i="13"/>
  <c r="AM42" i="13" s="1"/>
  <c r="AL28" i="13"/>
  <c r="AM28" i="13" s="1"/>
  <c r="AL24" i="13"/>
  <c r="AM24" i="13" s="1"/>
  <c r="AL32" i="13"/>
  <c r="AM32" i="13" s="1"/>
  <c r="AL22" i="13"/>
  <c r="AM22" i="13" s="1"/>
  <c r="L22" i="13" s="1"/>
  <c r="AL64" i="13"/>
  <c r="AM64" i="13" s="1"/>
  <c r="L64" i="13" s="1"/>
  <c r="AL74" i="13"/>
  <c r="AM74" i="13" s="1"/>
  <c r="AL30" i="13"/>
  <c r="AM30" i="13" s="1"/>
  <c r="AL84" i="13"/>
  <c r="AM84" i="13" s="1"/>
  <c r="AL34" i="13"/>
  <c r="AM34" i="13" s="1"/>
  <c r="AL50" i="13"/>
  <c r="AM50" i="13" s="1"/>
  <c r="L50" i="13" s="1"/>
  <c r="AL48" i="13"/>
  <c r="AM48" i="13" s="1"/>
  <c r="AL52" i="13"/>
  <c r="AM52" i="13" s="1"/>
  <c r="AL80" i="13"/>
  <c r="AM80" i="13" s="1"/>
  <c r="AL76" i="13"/>
  <c r="AM76" i="13" s="1"/>
  <c r="AL44" i="13"/>
  <c r="AM44" i="13" s="1"/>
  <c r="AL62" i="13"/>
  <c r="AM62" i="13" s="1"/>
  <c r="AL72" i="13"/>
  <c r="AM72" i="13" s="1"/>
  <c r="L72" i="13" s="1"/>
  <c r="Q86" i="13"/>
  <c r="X86" i="13" s="1"/>
  <c r="S86" i="13"/>
  <c r="Z86" i="13" s="1"/>
  <c r="O86" i="13"/>
  <c r="V86" i="13" s="1"/>
  <c r="N86" i="13"/>
  <c r="U86" i="13" s="1"/>
  <c r="R86" i="13"/>
  <c r="Y86" i="13" s="1"/>
  <c r="P86" i="13"/>
  <c r="W86" i="13" s="1"/>
  <c r="L62" i="13"/>
  <c r="L92" i="13"/>
  <c r="AL70" i="13"/>
  <c r="AM70" i="13" s="1"/>
  <c r="L70" i="13" s="1"/>
  <c r="AL66" i="13"/>
  <c r="AM66" i="13" s="1"/>
  <c r="L66" i="13" s="1"/>
  <c r="L68" i="13"/>
  <c r="L98" i="13"/>
  <c r="Q78" i="13"/>
  <c r="X78" i="13" s="1"/>
  <c r="S78" i="13"/>
  <c r="Z78" i="13" s="1"/>
  <c r="O78" i="13"/>
  <c r="V78" i="13" s="1"/>
  <c r="N78" i="13"/>
  <c r="U78" i="13" s="1"/>
  <c r="R78" i="13"/>
  <c r="Y78" i="13" s="1"/>
  <c r="P78" i="13"/>
  <c r="W78" i="13" s="1"/>
  <c r="L78" i="13" s="1"/>
  <c r="Q84" i="13"/>
  <c r="X84" i="13" s="1"/>
  <c r="S84" i="13"/>
  <c r="Z84" i="13" s="1"/>
  <c r="O84" i="13"/>
  <c r="V84" i="13" s="1"/>
  <c r="N84" i="13"/>
  <c r="U84" i="13" s="1"/>
  <c r="R84" i="13"/>
  <c r="Y84" i="13" s="1"/>
  <c r="P84" i="13"/>
  <c r="W84" i="13" s="1"/>
  <c r="L84" i="13" s="1"/>
  <c r="AL58" i="13"/>
  <c r="AM58" i="13" s="1"/>
  <c r="L58" i="13" s="1"/>
  <c r="L86" i="13"/>
  <c r="L100" i="13"/>
  <c r="L42" i="13"/>
  <c r="L96" i="13"/>
  <c r="Q76" i="13"/>
  <c r="X76" i="13" s="1"/>
  <c r="S76" i="13"/>
  <c r="Z76" i="13" s="1"/>
  <c r="O76" i="13"/>
  <c r="V76" i="13" s="1"/>
  <c r="N76" i="13"/>
  <c r="U76" i="13" s="1"/>
  <c r="R76" i="13"/>
  <c r="Y76" i="13" s="1"/>
  <c r="P76" i="13"/>
  <c r="W76" i="13" s="1"/>
  <c r="L76" i="13" s="1"/>
  <c r="AE20" i="13" l="1"/>
  <c r="AH20" i="13" s="1"/>
  <c r="AK20" i="13" s="1"/>
  <c r="AD20" i="13"/>
  <c r="AC20" i="13"/>
  <c r="AE18" i="13"/>
  <c r="AH18" i="13" s="1"/>
  <c r="AK18" i="13" s="1"/>
  <c r="AD18" i="13"/>
  <c r="AG18" i="13" s="1"/>
  <c r="AJ18" i="13" s="1"/>
  <c r="AC18" i="13"/>
  <c r="AE16" i="13"/>
  <c r="AD16" i="13"/>
  <c r="AC16" i="13"/>
  <c r="AE14" i="13"/>
  <c r="AH14" i="13" s="1"/>
  <c r="AK14" i="13" s="1"/>
  <c r="AD14" i="13"/>
  <c r="AC14" i="13"/>
  <c r="AE12" i="13"/>
  <c r="AH12" i="13" s="1"/>
  <c r="AK12" i="13" s="1"/>
  <c r="AD12" i="13"/>
  <c r="AC12" i="13"/>
  <c r="AE10" i="13"/>
  <c r="AH10" i="13" s="1"/>
  <c r="AK10" i="13" s="1"/>
  <c r="AD10" i="13"/>
  <c r="AC10" i="13"/>
  <c r="AE8" i="13"/>
  <c r="AD8" i="13"/>
  <c r="AC8" i="13"/>
  <c r="AE6" i="13"/>
  <c r="AH6" i="13" s="1"/>
  <c r="AK6" i="13" s="1"/>
  <c r="AD6" i="13"/>
  <c r="AC6" i="13"/>
  <c r="AA20" i="13"/>
  <c r="AA18" i="13"/>
  <c r="AA16" i="13"/>
  <c r="AA14" i="13"/>
  <c r="AA12" i="13"/>
  <c r="AA10" i="13"/>
  <c r="AA8" i="13"/>
  <c r="AA6" i="13"/>
  <c r="H20" i="13"/>
  <c r="H18" i="13"/>
  <c r="H14" i="13"/>
  <c r="H16" i="13"/>
  <c r="H10" i="13"/>
  <c r="H12" i="13"/>
  <c r="I12" i="13" s="1"/>
  <c r="H8" i="13"/>
  <c r="H6" i="13"/>
  <c r="I6" i="13" s="1"/>
  <c r="R4" i="13"/>
  <c r="Q4" i="13"/>
  <c r="P4" i="13"/>
  <c r="O4" i="13"/>
  <c r="L11" i="6"/>
  <c r="L12" i="6" s="1"/>
  <c r="Q17" i="6"/>
  <c r="A146" i="12" s="1"/>
  <c r="D11" i="6"/>
  <c r="A445" i="12"/>
  <c r="A444" i="12"/>
  <c r="A443" i="12"/>
  <c r="A442" i="12"/>
  <c r="A441" i="12"/>
  <c r="A396" i="12"/>
  <c r="A397" i="12"/>
  <c r="A423" i="12"/>
  <c r="A436" i="12"/>
  <c r="A435" i="12"/>
  <c r="A434" i="12"/>
  <c r="A433" i="12"/>
  <c r="A432" i="12"/>
  <c r="A427" i="12"/>
  <c r="A426" i="12"/>
  <c r="A425" i="12"/>
  <c r="A424" i="12"/>
  <c r="A418" i="12"/>
  <c r="A417" i="12"/>
  <c r="A416" i="12"/>
  <c r="A415" i="12"/>
  <c r="A414" i="12"/>
  <c r="A409" i="12"/>
  <c r="A408" i="12"/>
  <c r="A407" i="12"/>
  <c r="A406" i="12"/>
  <c r="A405" i="12"/>
  <c r="A400" i="12"/>
  <c r="A399" i="12"/>
  <c r="A398" i="12"/>
  <c r="A392" i="12"/>
  <c r="A391" i="12"/>
  <c r="A390" i="12"/>
  <c r="A389" i="12"/>
  <c r="A388" i="12"/>
  <c r="A387" i="12"/>
  <c r="A383" i="12"/>
  <c r="A382" i="12"/>
  <c r="A381" i="12"/>
  <c r="A380" i="12"/>
  <c r="A379" i="12"/>
  <c r="A378" i="12"/>
  <c r="A374" i="12"/>
  <c r="A373" i="12"/>
  <c r="A372" i="12"/>
  <c r="A371" i="12"/>
  <c r="A370" i="12"/>
  <c r="A369" i="12"/>
  <c r="A365" i="12"/>
  <c r="A364" i="12"/>
  <c r="A363" i="12"/>
  <c r="A362" i="12"/>
  <c r="A361" i="12"/>
  <c r="A360" i="12"/>
  <c r="A355" i="12"/>
  <c r="A354" i="12"/>
  <c r="A353" i="12"/>
  <c r="A352" i="12"/>
  <c r="A351" i="12"/>
  <c r="A350" i="12"/>
  <c r="A346" i="12"/>
  <c r="A345" i="12"/>
  <c r="A344" i="12"/>
  <c r="A343" i="12"/>
  <c r="A342" i="12"/>
  <c r="A341" i="12"/>
  <c r="A337" i="12"/>
  <c r="A336" i="12"/>
  <c r="A335" i="12"/>
  <c r="A334" i="12"/>
  <c r="A333" i="12"/>
  <c r="A332" i="12"/>
  <c r="A328" i="12"/>
  <c r="A327" i="12"/>
  <c r="A326" i="12"/>
  <c r="A325" i="12"/>
  <c r="A324" i="12"/>
  <c r="A323" i="12"/>
  <c r="A319" i="12"/>
  <c r="A318" i="12"/>
  <c r="A317" i="12"/>
  <c r="A316" i="12"/>
  <c r="A315" i="12"/>
  <c r="A314" i="12"/>
  <c r="A310" i="12"/>
  <c r="A309" i="12"/>
  <c r="A308" i="12"/>
  <c r="A307" i="12"/>
  <c r="A306" i="12"/>
  <c r="A305" i="12"/>
  <c r="A301" i="12"/>
  <c r="A300" i="12"/>
  <c r="A299" i="12"/>
  <c r="A298" i="12"/>
  <c r="A297" i="12"/>
  <c r="A296" i="12"/>
  <c r="A292" i="12"/>
  <c r="A291" i="12"/>
  <c r="A290" i="12"/>
  <c r="A289" i="12"/>
  <c r="A288" i="12"/>
  <c r="A287" i="12"/>
  <c r="A283" i="12"/>
  <c r="A282" i="12"/>
  <c r="A281" i="12"/>
  <c r="A280" i="12"/>
  <c r="A279" i="12"/>
  <c r="A278" i="12"/>
  <c r="A274" i="12"/>
  <c r="A273" i="12"/>
  <c r="A272" i="12"/>
  <c r="A271" i="12"/>
  <c r="A270" i="12"/>
  <c r="A269" i="12"/>
  <c r="A265" i="12"/>
  <c r="A264" i="12"/>
  <c r="A263" i="12"/>
  <c r="A262" i="12"/>
  <c r="A261" i="12"/>
  <c r="A260" i="12"/>
  <c r="A256" i="12"/>
  <c r="A255" i="12"/>
  <c r="A254" i="12"/>
  <c r="A253" i="12"/>
  <c r="A252" i="12"/>
  <c r="A251" i="12"/>
  <c r="A247" i="12"/>
  <c r="A246" i="12"/>
  <c r="A245" i="12"/>
  <c r="A244" i="12"/>
  <c r="A243" i="12"/>
  <c r="A242" i="12"/>
  <c r="A238" i="12"/>
  <c r="A237" i="12"/>
  <c r="A236" i="12"/>
  <c r="A235" i="12"/>
  <c r="A234" i="12"/>
  <c r="A233" i="12"/>
  <c r="A229" i="12"/>
  <c r="A228" i="12"/>
  <c r="A227" i="12"/>
  <c r="A226" i="12"/>
  <c r="A225" i="12"/>
  <c r="A224" i="12"/>
  <c r="A220" i="12"/>
  <c r="A219" i="12"/>
  <c r="A218" i="12"/>
  <c r="A217" i="12"/>
  <c r="A216" i="12"/>
  <c r="A215" i="12"/>
  <c r="T13" i="6"/>
  <c r="AG22" i="6"/>
  <c r="A177" i="12" s="1"/>
  <c r="AG21" i="6"/>
  <c r="A196" i="12" s="1"/>
  <c r="AG20" i="6"/>
  <c r="A206" i="12" s="1"/>
  <c r="AG19" i="6"/>
  <c r="A180" i="12" s="1"/>
  <c r="AG18" i="6"/>
  <c r="A208" i="12" s="1"/>
  <c r="N203" i="12"/>
  <c r="M203" i="12"/>
  <c r="L203" i="12"/>
  <c r="K203" i="12"/>
  <c r="J203" i="12"/>
  <c r="I203" i="12"/>
  <c r="H203" i="12"/>
  <c r="G203" i="12"/>
  <c r="F203" i="12"/>
  <c r="E203" i="12"/>
  <c r="D203" i="12"/>
  <c r="C209" i="12"/>
  <c r="C200" i="12"/>
  <c r="N194" i="12"/>
  <c r="M194" i="12"/>
  <c r="L194" i="12"/>
  <c r="K194" i="12"/>
  <c r="J194" i="12"/>
  <c r="I194" i="12"/>
  <c r="H194" i="12"/>
  <c r="G194" i="12"/>
  <c r="F194" i="12"/>
  <c r="E194" i="12"/>
  <c r="D194" i="12"/>
  <c r="C191" i="12"/>
  <c r="N185" i="12"/>
  <c r="M185" i="12"/>
  <c r="L185" i="12"/>
  <c r="K185" i="12"/>
  <c r="J185" i="12"/>
  <c r="I185" i="12"/>
  <c r="H185" i="12"/>
  <c r="G185" i="12"/>
  <c r="F185" i="12"/>
  <c r="E185" i="12"/>
  <c r="D185" i="12"/>
  <c r="C182" i="12"/>
  <c r="N182" i="12" s="1"/>
  <c r="N176" i="12"/>
  <c r="M176" i="12"/>
  <c r="L176" i="12"/>
  <c r="K176" i="12"/>
  <c r="J176" i="12"/>
  <c r="I176" i="12"/>
  <c r="H176" i="12"/>
  <c r="G176" i="12"/>
  <c r="F176" i="12"/>
  <c r="E176" i="12"/>
  <c r="D176" i="12"/>
  <c r="C173" i="12"/>
  <c r="N173" i="12" s="1"/>
  <c r="N167" i="12"/>
  <c r="M167" i="12"/>
  <c r="L167" i="12"/>
  <c r="K167" i="12"/>
  <c r="J167" i="12"/>
  <c r="I167" i="12"/>
  <c r="H167" i="12"/>
  <c r="G167" i="12"/>
  <c r="F167" i="12"/>
  <c r="E167" i="12"/>
  <c r="D167" i="12"/>
  <c r="C164" i="12"/>
  <c r="N164" i="12" s="1"/>
  <c r="N158" i="12"/>
  <c r="M158" i="12"/>
  <c r="L158" i="12"/>
  <c r="K158" i="12"/>
  <c r="J158" i="12"/>
  <c r="I158" i="12"/>
  <c r="H158" i="12"/>
  <c r="G158" i="12"/>
  <c r="F158" i="12"/>
  <c r="E158" i="12"/>
  <c r="D158" i="12"/>
  <c r="N149" i="12"/>
  <c r="M149" i="12"/>
  <c r="L149" i="12"/>
  <c r="K149" i="12"/>
  <c r="J149" i="12"/>
  <c r="I149" i="12"/>
  <c r="H149" i="12"/>
  <c r="G149" i="12"/>
  <c r="F149" i="12"/>
  <c r="E149" i="12"/>
  <c r="D149" i="12"/>
  <c r="N140" i="12"/>
  <c r="M140" i="12"/>
  <c r="L140" i="12"/>
  <c r="K140" i="12"/>
  <c r="J140" i="12"/>
  <c r="I140" i="12"/>
  <c r="H140" i="12"/>
  <c r="G140" i="12"/>
  <c r="F140" i="12"/>
  <c r="E140" i="12"/>
  <c r="D140" i="12"/>
  <c r="N131" i="12"/>
  <c r="M131" i="12"/>
  <c r="L131" i="12"/>
  <c r="K131" i="12"/>
  <c r="J131" i="12"/>
  <c r="I131" i="12"/>
  <c r="H131" i="12"/>
  <c r="G131" i="12"/>
  <c r="F131" i="12"/>
  <c r="E131" i="12"/>
  <c r="D131" i="12"/>
  <c r="N122" i="12"/>
  <c r="M122" i="12"/>
  <c r="L122" i="12"/>
  <c r="K122" i="12"/>
  <c r="J122" i="12"/>
  <c r="I122" i="12"/>
  <c r="H122" i="12"/>
  <c r="G122" i="12"/>
  <c r="F122" i="12"/>
  <c r="E122" i="12"/>
  <c r="D122" i="12"/>
  <c r="N113" i="12"/>
  <c r="M113" i="12"/>
  <c r="L113" i="12"/>
  <c r="K113" i="12"/>
  <c r="J113" i="12"/>
  <c r="I113" i="12"/>
  <c r="H113" i="12"/>
  <c r="G113" i="12"/>
  <c r="F113" i="12"/>
  <c r="E113" i="12"/>
  <c r="D113" i="12"/>
  <c r="N104" i="12"/>
  <c r="M104" i="12"/>
  <c r="L104" i="12"/>
  <c r="K104" i="12"/>
  <c r="J104" i="12"/>
  <c r="I104" i="12"/>
  <c r="H104" i="12"/>
  <c r="G104" i="12"/>
  <c r="F104" i="12"/>
  <c r="E104" i="12"/>
  <c r="D104" i="12"/>
  <c r="N95" i="12"/>
  <c r="M95" i="12"/>
  <c r="L95" i="12"/>
  <c r="K95" i="12"/>
  <c r="J95" i="12"/>
  <c r="I95" i="12"/>
  <c r="H95" i="12"/>
  <c r="G95" i="12"/>
  <c r="F95" i="12"/>
  <c r="E95" i="12"/>
  <c r="D95" i="12"/>
  <c r="N86" i="12"/>
  <c r="M86" i="12"/>
  <c r="L86" i="12"/>
  <c r="K86" i="12"/>
  <c r="J86" i="12"/>
  <c r="I86" i="12"/>
  <c r="H86" i="12"/>
  <c r="G86" i="12"/>
  <c r="F86" i="12"/>
  <c r="E86" i="12"/>
  <c r="D86" i="12"/>
  <c r="N77" i="12"/>
  <c r="M77" i="12"/>
  <c r="L77" i="12"/>
  <c r="K77" i="12"/>
  <c r="J77" i="12"/>
  <c r="I77" i="12"/>
  <c r="H77" i="12"/>
  <c r="G77" i="12"/>
  <c r="F77" i="12"/>
  <c r="E77" i="12"/>
  <c r="D77" i="12"/>
  <c r="N68" i="12"/>
  <c r="M68" i="12"/>
  <c r="L68" i="12"/>
  <c r="K68" i="12"/>
  <c r="J68" i="12"/>
  <c r="I68" i="12"/>
  <c r="H68" i="12"/>
  <c r="G68" i="12"/>
  <c r="F68" i="12"/>
  <c r="E68" i="12"/>
  <c r="D68" i="12"/>
  <c r="N59" i="12"/>
  <c r="M59" i="12"/>
  <c r="L59" i="12"/>
  <c r="K59" i="12"/>
  <c r="J59" i="12"/>
  <c r="I59" i="12"/>
  <c r="H59" i="12"/>
  <c r="G59" i="12"/>
  <c r="F59" i="12"/>
  <c r="E59" i="12"/>
  <c r="D59" i="12"/>
  <c r="N50" i="12"/>
  <c r="M50" i="12"/>
  <c r="L50" i="12"/>
  <c r="K50" i="12"/>
  <c r="J50" i="12"/>
  <c r="I50" i="12"/>
  <c r="H50" i="12"/>
  <c r="G50" i="12"/>
  <c r="F50" i="12"/>
  <c r="E50" i="12"/>
  <c r="D50" i="12"/>
  <c r="N41" i="12"/>
  <c r="M41" i="12"/>
  <c r="L41" i="12"/>
  <c r="K41" i="12"/>
  <c r="J41" i="12"/>
  <c r="I41" i="12"/>
  <c r="H41" i="12"/>
  <c r="G41" i="12"/>
  <c r="F41" i="12"/>
  <c r="E41" i="12"/>
  <c r="D41" i="12"/>
  <c r="N32" i="12"/>
  <c r="M32" i="12"/>
  <c r="L32" i="12"/>
  <c r="K32" i="12"/>
  <c r="J32" i="12"/>
  <c r="I32" i="12"/>
  <c r="H32" i="12"/>
  <c r="G32" i="12"/>
  <c r="F32" i="12"/>
  <c r="E32" i="12"/>
  <c r="D32" i="12"/>
  <c r="N23" i="12"/>
  <c r="M23" i="12"/>
  <c r="L23" i="12"/>
  <c r="K23" i="12"/>
  <c r="J23" i="12"/>
  <c r="I23" i="12"/>
  <c r="H23" i="12"/>
  <c r="G23" i="12"/>
  <c r="F23" i="12"/>
  <c r="E23" i="12"/>
  <c r="D23" i="12"/>
  <c r="N14" i="12"/>
  <c r="M14" i="12"/>
  <c r="L14" i="12"/>
  <c r="K14" i="12"/>
  <c r="J14" i="12"/>
  <c r="I14" i="12"/>
  <c r="H14" i="12"/>
  <c r="G14" i="12"/>
  <c r="F14" i="12"/>
  <c r="E14" i="12"/>
  <c r="D14" i="12"/>
  <c r="N5" i="12"/>
  <c r="M5" i="12"/>
  <c r="L5" i="12"/>
  <c r="K5" i="12"/>
  <c r="J5" i="12"/>
  <c r="I5" i="12"/>
  <c r="H5" i="12"/>
  <c r="G5" i="12"/>
  <c r="F5" i="12"/>
  <c r="E5" i="12"/>
  <c r="D5" i="12"/>
  <c r="C155" i="12"/>
  <c r="C146" i="12"/>
  <c r="N146" i="12" s="1"/>
  <c r="C137" i="12"/>
  <c r="C128" i="12"/>
  <c r="N128" i="12" s="1"/>
  <c r="C119" i="12"/>
  <c r="C110" i="12"/>
  <c r="N110" i="12" s="1"/>
  <c r="C101" i="12"/>
  <c r="N101" i="12" s="1"/>
  <c r="C92" i="12"/>
  <c r="N92" i="12" s="1"/>
  <c r="C83" i="12"/>
  <c r="C74" i="12"/>
  <c r="N74" i="12" s="1"/>
  <c r="C65" i="12"/>
  <c r="N65" i="12" s="1"/>
  <c r="C56" i="12"/>
  <c r="N56" i="12" s="1"/>
  <c r="C47" i="12"/>
  <c r="C38" i="12"/>
  <c r="N38" i="12" s="1"/>
  <c r="C29" i="12"/>
  <c r="C20" i="12"/>
  <c r="N20" i="12" s="1"/>
  <c r="C11" i="12"/>
  <c r="C446" i="12"/>
  <c r="N440" i="12"/>
  <c r="M440" i="12"/>
  <c r="L440" i="12"/>
  <c r="K440" i="12"/>
  <c r="J440" i="12"/>
  <c r="I440" i="12"/>
  <c r="H440" i="12"/>
  <c r="G440" i="12"/>
  <c r="F440" i="12"/>
  <c r="E440" i="12"/>
  <c r="D440" i="12"/>
  <c r="D446" i="12" s="1"/>
  <c r="C437" i="12"/>
  <c r="N431" i="12"/>
  <c r="M431" i="12"/>
  <c r="L431" i="12"/>
  <c r="K431" i="12"/>
  <c r="J431" i="12"/>
  <c r="I431" i="12"/>
  <c r="H431" i="12"/>
  <c r="G431" i="12"/>
  <c r="F431" i="12"/>
  <c r="E431" i="12"/>
  <c r="D431" i="12"/>
  <c r="C428" i="12"/>
  <c r="N422" i="12"/>
  <c r="M422" i="12"/>
  <c r="L422" i="12"/>
  <c r="K422" i="12"/>
  <c r="J422" i="12"/>
  <c r="I422" i="12"/>
  <c r="H422" i="12"/>
  <c r="G422" i="12"/>
  <c r="F422" i="12"/>
  <c r="E422" i="12"/>
  <c r="D422" i="12"/>
  <c r="C419" i="12"/>
  <c r="C414" i="12" s="1"/>
  <c r="N413" i="12"/>
  <c r="M413" i="12"/>
  <c r="L413" i="12"/>
  <c r="K413" i="12"/>
  <c r="J413" i="12"/>
  <c r="I413" i="12"/>
  <c r="H413" i="12"/>
  <c r="G413" i="12"/>
  <c r="F413" i="12"/>
  <c r="E413" i="12"/>
  <c r="D413" i="12"/>
  <c r="C410" i="12"/>
  <c r="N404" i="12"/>
  <c r="M404" i="12"/>
  <c r="L404" i="12"/>
  <c r="K404" i="12"/>
  <c r="J404" i="12"/>
  <c r="I404" i="12"/>
  <c r="H404" i="12"/>
  <c r="G404" i="12"/>
  <c r="F404" i="12"/>
  <c r="E404" i="12"/>
  <c r="D404" i="12"/>
  <c r="C401" i="12"/>
  <c r="N395" i="12"/>
  <c r="M395" i="12"/>
  <c r="L395" i="12"/>
  <c r="K395" i="12"/>
  <c r="J395" i="12"/>
  <c r="I395" i="12"/>
  <c r="H395" i="12"/>
  <c r="G395" i="12"/>
  <c r="F395" i="12"/>
  <c r="E395" i="12"/>
  <c r="D395" i="12"/>
  <c r="C392" i="12"/>
  <c r="N386" i="12"/>
  <c r="M386" i="12"/>
  <c r="L386" i="12"/>
  <c r="K386" i="12"/>
  <c r="J386" i="12"/>
  <c r="I386" i="12"/>
  <c r="H386" i="12"/>
  <c r="G386" i="12"/>
  <c r="F386" i="12"/>
  <c r="E386" i="12"/>
  <c r="D386" i="12"/>
  <c r="C383" i="12"/>
  <c r="N377" i="12"/>
  <c r="M377" i="12"/>
  <c r="L377" i="12"/>
  <c r="K377" i="12"/>
  <c r="J377" i="12"/>
  <c r="I377" i="12"/>
  <c r="H377" i="12"/>
  <c r="G377" i="12"/>
  <c r="F377" i="12"/>
  <c r="E377" i="12"/>
  <c r="D377" i="12"/>
  <c r="C374" i="12"/>
  <c r="N368" i="12"/>
  <c r="M368" i="12"/>
  <c r="L368" i="12"/>
  <c r="K368" i="12"/>
  <c r="J368" i="12"/>
  <c r="I368" i="12"/>
  <c r="H368" i="12"/>
  <c r="G368" i="12"/>
  <c r="F368" i="12"/>
  <c r="E368" i="12"/>
  <c r="D368" i="12"/>
  <c r="C365" i="12"/>
  <c r="N359" i="12"/>
  <c r="M359" i="12"/>
  <c r="L359" i="12"/>
  <c r="K359" i="12"/>
  <c r="J359" i="12"/>
  <c r="I359" i="12"/>
  <c r="H359" i="12"/>
  <c r="G359" i="12"/>
  <c r="F359" i="12"/>
  <c r="E359" i="12"/>
  <c r="D359" i="12"/>
  <c r="C355" i="12"/>
  <c r="N349" i="12"/>
  <c r="M349" i="12"/>
  <c r="L349" i="12"/>
  <c r="K349" i="12"/>
  <c r="J349" i="12"/>
  <c r="I349" i="12"/>
  <c r="H349" i="12"/>
  <c r="G349" i="12"/>
  <c r="F349" i="12"/>
  <c r="E349" i="12"/>
  <c r="D349" i="12"/>
  <c r="C346" i="12"/>
  <c r="N340" i="12"/>
  <c r="M340" i="12"/>
  <c r="L340" i="12"/>
  <c r="K340" i="12"/>
  <c r="J340" i="12"/>
  <c r="I340" i="12"/>
  <c r="H340" i="12"/>
  <c r="G340" i="12"/>
  <c r="F340" i="12"/>
  <c r="E340" i="12"/>
  <c r="D340" i="12"/>
  <c r="C337" i="12"/>
  <c r="N331" i="12"/>
  <c r="M331" i="12"/>
  <c r="L331" i="12"/>
  <c r="K331" i="12"/>
  <c r="J331" i="12"/>
  <c r="I331" i="12"/>
  <c r="H331" i="12"/>
  <c r="G331" i="12"/>
  <c r="F331" i="12"/>
  <c r="E331" i="12"/>
  <c r="D331" i="12"/>
  <c r="C328" i="12"/>
  <c r="N322" i="12"/>
  <c r="M322" i="12"/>
  <c r="L322" i="12"/>
  <c r="K322" i="12"/>
  <c r="J322" i="12"/>
  <c r="I322" i="12"/>
  <c r="H322" i="12"/>
  <c r="G322" i="12"/>
  <c r="F322" i="12"/>
  <c r="E322" i="12"/>
  <c r="D322" i="12"/>
  <c r="C319" i="12"/>
  <c r="N313" i="12"/>
  <c r="M313" i="12"/>
  <c r="L313" i="12"/>
  <c r="K313" i="12"/>
  <c r="J313" i="12"/>
  <c r="I313" i="12"/>
  <c r="H313" i="12"/>
  <c r="G313" i="12"/>
  <c r="F313" i="12"/>
  <c r="E313" i="12"/>
  <c r="D313" i="12"/>
  <c r="C310" i="12"/>
  <c r="N304" i="12"/>
  <c r="M304" i="12"/>
  <c r="L304" i="12"/>
  <c r="K304" i="12"/>
  <c r="J304" i="12"/>
  <c r="I304" i="12"/>
  <c r="H304" i="12"/>
  <c r="G304" i="12"/>
  <c r="F304" i="12"/>
  <c r="E304" i="12"/>
  <c r="D304" i="12"/>
  <c r="C301" i="12"/>
  <c r="N295" i="12"/>
  <c r="M295" i="12"/>
  <c r="L295" i="12"/>
  <c r="K295" i="12"/>
  <c r="J295" i="12"/>
  <c r="I295" i="12"/>
  <c r="H295" i="12"/>
  <c r="G295" i="12"/>
  <c r="F295" i="12"/>
  <c r="E295" i="12"/>
  <c r="D295" i="12"/>
  <c r="C292" i="12"/>
  <c r="N286" i="12"/>
  <c r="M286" i="12"/>
  <c r="L286" i="12"/>
  <c r="K286" i="12"/>
  <c r="J286" i="12"/>
  <c r="I286" i="12"/>
  <c r="H286" i="12"/>
  <c r="G286" i="12"/>
  <c r="F286" i="12"/>
  <c r="E286" i="12"/>
  <c r="D286" i="12"/>
  <c r="C283" i="12"/>
  <c r="N277" i="12"/>
  <c r="M277" i="12"/>
  <c r="L277" i="12"/>
  <c r="K277" i="12"/>
  <c r="J277" i="12"/>
  <c r="I277" i="12"/>
  <c r="H277" i="12"/>
  <c r="G277" i="12"/>
  <c r="F277" i="12"/>
  <c r="E277" i="12"/>
  <c r="D277" i="12"/>
  <c r="C274" i="12"/>
  <c r="C269" i="12" s="1"/>
  <c r="N268" i="12"/>
  <c r="M268" i="12"/>
  <c r="L268" i="12"/>
  <c r="K268" i="12"/>
  <c r="J268" i="12"/>
  <c r="I268" i="12"/>
  <c r="H268" i="12"/>
  <c r="G268" i="12"/>
  <c r="F268" i="12"/>
  <c r="E268" i="12"/>
  <c r="D268" i="12"/>
  <c r="C265" i="12"/>
  <c r="N259" i="12"/>
  <c r="M259" i="12"/>
  <c r="L259" i="12"/>
  <c r="K259" i="12"/>
  <c r="J259" i="12"/>
  <c r="I259" i="12"/>
  <c r="H259" i="12"/>
  <c r="G259" i="12"/>
  <c r="F259" i="12"/>
  <c r="E259" i="12"/>
  <c r="D259" i="12"/>
  <c r="C256" i="12"/>
  <c r="N250" i="12"/>
  <c r="M250" i="12"/>
  <c r="L250" i="12"/>
  <c r="K250" i="12"/>
  <c r="J250" i="12"/>
  <c r="I250" i="12"/>
  <c r="H250" i="12"/>
  <c r="G250" i="12"/>
  <c r="F250" i="12"/>
  <c r="E250" i="12"/>
  <c r="D250" i="12"/>
  <c r="N241" i="12"/>
  <c r="M241" i="12"/>
  <c r="L241" i="12"/>
  <c r="K241" i="12"/>
  <c r="J241" i="12"/>
  <c r="I241" i="12"/>
  <c r="H241" i="12"/>
  <c r="G241" i="12"/>
  <c r="F241" i="12"/>
  <c r="E241" i="12"/>
  <c r="D241" i="12"/>
  <c r="D232" i="12"/>
  <c r="AF6" i="5"/>
  <c r="AE6" i="5"/>
  <c r="AD6" i="5"/>
  <c r="N6" i="5" s="1"/>
  <c r="AC6" i="5"/>
  <c r="M6" i="5" s="1"/>
  <c r="AB6" i="5"/>
  <c r="AA6" i="5"/>
  <c r="Z6" i="5"/>
  <c r="J6" i="5" s="1"/>
  <c r="Y6" i="5"/>
  <c r="I6" i="5" s="1"/>
  <c r="X6" i="5"/>
  <c r="W6" i="5"/>
  <c r="V6" i="5"/>
  <c r="F6" i="5" s="1"/>
  <c r="U6" i="5"/>
  <c r="E6" i="5" s="1"/>
  <c r="T6" i="5"/>
  <c r="S6" i="5"/>
  <c r="P6" i="5"/>
  <c r="O6" i="5"/>
  <c r="L6" i="5"/>
  <c r="K6" i="5"/>
  <c r="H6" i="5"/>
  <c r="G6" i="5"/>
  <c r="C247" i="12"/>
  <c r="C238" i="12"/>
  <c r="N232" i="12"/>
  <c r="M232" i="12"/>
  <c r="L232" i="12"/>
  <c r="K232" i="12"/>
  <c r="J232" i="12"/>
  <c r="I232" i="12"/>
  <c r="H232" i="12"/>
  <c r="G232" i="12"/>
  <c r="F232" i="12"/>
  <c r="E232" i="12"/>
  <c r="D214" i="12"/>
  <c r="E214" i="12"/>
  <c r="F214" i="12"/>
  <c r="G214" i="12"/>
  <c r="H214" i="12"/>
  <c r="I214" i="12"/>
  <c r="J214" i="12"/>
  <c r="K214" i="12"/>
  <c r="L214" i="12"/>
  <c r="M214" i="12"/>
  <c r="N214" i="12"/>
  <c r="C220" i="12"/>
  <c r="C218" i="12" s="1"/>
  <c r="C229" i="12"/>
  <c r="D16" i="5"/>
  <c r="E10" i="5"/>
  <c r="F10" i="5"/>
  <c r="G10" i="5"/>
  <c r="H10" i="5"/>
  <c r="E11" i="5"/>
  <c r="F11" i="5"/>
  <c r="G11" i="5"/>
  <c r="H11" i="5"/>
  <c r="E14" i="5"/>
  <c r="F14" i="5"/>
  <c r="G14" i="5"/>
  <c r="H14" i="5"/>
  <c r="E16" i="5"/>
  <c r="F16" i="5"/>
  <c r="G16" i="5"/>
  <c r="H16" i="5"/>
  <c r="AD8" i="6"/>
  <c r="AE8" i="6" s="1"/>
  <c r="AC8" i="6"/>
  <c r="AD7" i="6"/>
  <c r="AE7" i="6" s="1"/>
  <c r="AC7" i="6"/>
  <c r="V7" i="6"/>
  <c r="W7" i="6" s="1"/>
  <c r="V8" i="6"/>
  <c r="W8" i="6" s="1"/>
  <c r="A446" i="12"/>
  <c r="Q22" i="6"/>
  <c r="A141" i="12" s="1"/>
  <c r="Q21" i="6"/>
  <c r="A142" i="12" s="1"/>
  <c r="Q20" i="6"/>
  <c r="A152" i="12" s="1"/>
  <c r="Q19" i="6"/>
  <c r="M19" i="6" s="1"/>
  <c r="Q18" i="6"/>
  <c r="A145" i="12" s="1"/>
  <c r="AC22" i="6"/>
  <c r="AB13" i="6"/>
  <c r="AB11" i="6"/>
  <c r="T11" i="6"/>
  <c r="T12" i="6" s="1"/>
  <c r="M5" i="6"/>
  <c r="AC5" i="6"/>
  <c r="U5" i="6"/>
  <c r="N7" i="6"/>
  <c r="O7" i="6" s="1"/>
  <c r="F7" i="6"/>
  <c r="G7" i="6" s="1"/>
  <c r="E5" i="6"/>
  <c r="U22" i="6"/>
  <c r="U21" i="6"/>
  <c r="U20" i="6"/>
  <c r="U18" i="6"/>
  <c r="U8" i="6"/>
  <c r="U7" i="6"/>
  <c r="M18" i="6"/>
  <c r="N9" i="6"/>
  <c r="O9" i="6" s="1"/>
  <c r="M9" i="6"/>
  <c r="N8" i="6"/>
  <c r="O8" i="6" s="1"/>
  <c r="M8" i="6"/>
  <c r="M7" i="6"/>
  <c r="F8" i="6"/>
  <c r="G8" i="6" s="1"/>
  <c r="F9" i="6"/>
  <c r="G9" i="6" s="1"/>
  <c r="E8" i="6"/>
  <c r="E9" i="6"/>
  <c r="P56" i="5"/>
  <c r="O56" i="5"/>
  <c r="N56" i="5"/>
  <c r="M56" i="5"/>
  <c r="L56" i="5"/>
  <c r="K56" i="5"/>
  <c r="J56" i="5"/>
  <c r="I56" i="5"/>
  <c r="H56" i="5"/>
  <c r="G56" i="5"/>
  <c r="F56" i="5"/>
  <c r="E56" i="5"/>
  <c r="D56" i="5"/>
  <c r="P55" i="5"/>
  <c r="O55" i="5"/>
  <c r="N55" i="5"/>
  <c r="M55" i="5"/>
  <c r="L55" i="5"/>
  <c r="K55" i="5"/>
  <c r="J55" i="5"/>
  <c r="I55" i="5"/>
  <c r="H55" i="5"/>
  <c r="G55" i="5"/>
  <c r="F55" i="5"/>
  <c r="E55" i="5"/>
  <c r="D55" i="5"/>
  <c r="P54" i="5"/>
  <c r="O54" i="5"/>
  <c r="N54" i="5"/>
  <c r="M54" i="5"/>
  <c r="L54" i="5"/>
  <c r="K54" i="5"/>
  <c r="J54" i="5"/>
  <c r="I54" i="5"/>
  <c r="H54" i="5"/>
  <c r="G54" i="5"/>
  <c r="F54" i="5"/>
  <c r="E54" i="5"/>
  <c r="D54" i="5"/>
  <c r="P53" i="5"/>
  <c r="O53" i="5"/>
  <c r="N53" i="5"/>
  <c r="M53" i="5"/>
  <c r="L53" i="5"/>
  <c r="K53" i="5"/>
  <c r="J53" i="5"/>
  <c r="I53" i="5"/>
  <c r="H53" i="5"/>
  <c r="G53" i="5"/>
  <c r="F53" i="5"/>
  <c r="E53" i="5"/>
  <c r="D53" i="5"/>
  <c r="P52" i="5"/>
  <c r="O52" i="5"/>
  <c r="N52" i="5"/>
  <c r="M52" i="5"/>
  <c r="L52" i="5"/>
  <c r="K52" i="5"/>
  <c r="J52" i="5"/>
  <c r="I52" i="5"/>
  <c r="H52" i="5"/>
  <c r="G52" i="5"/>
  <c r="F52" i="5"/>
  <c r="E52" i="5"/>
  <c r="D52" i="5"/>
  <c r="P51" i="5"/>
  <c r="O51" i="5"/>
  <c r="N51" i="5"/>
  <c r="M51" i="5"/>
  <c r="L51" i="5"/>
  <c r="K51" i="5"/>
  <c r="J51" i="5"/>
  <c r="I51" i="5"/>
  <c r="H51" i="5"/>
  <c r="G51" i="5"/>
  <c r="F51" i="5"/>
  <c r="E51" i="5"/>
  <c r="D51" i="5"/>
  <c r="P50" i="5"/>
  <c r="O50" i="5"/>
  <c r="N50" i="5"/>
  <c r="M50" i="5"/>
  <c r="L50" i="5"/>
  <c r="K50" i="5"/>
  <c r="J50" i="5"/>
  <c r="I50" i="5"/>
  <c r="H50" i="5"/>
  <c r="G50" i="5"/>
  <c r="F50" i="5"/>
  <c r="E50" i="5"/>
  <c r="D50" i="5"/>
  <c r="P49" i="5"/>
  <c r="O49" i="5"/>
  <c r="N49" i="5"/>
  <c r="M49" i="5"/>
  <c r="L49" i="5"/>
  <c r="K49" i="5"/>
  <c r="J49" i="5"/>
  <c r="I49" i="5"/>
  <c r="H49" i="5"/>
  <c r="G49" i="5"/>
  <c r="F49" i="5"/>
  <c r="E49" i="5"/>
  <c r="D49" i="5"/>
  <c r="P48" i="5"/>
  <c r="O48" i="5"/>
  <c r="N48" i="5"/>
  <c r="M48" i="5"/>
  <c r="L48" i="5"/>
  <c r="K48" i="5"/>
  <c r="J48" i="5"/>
  <c r="I48" i="5"/>
  <c r="H48" i="5"/>
  <c r="G48" i="5"/>
  <c r="F48" i="5"/>
  <c r="E48" i="5"/>
  <c r="D48" i="5"/>
  <c r="P47" i="5"/>
  <c r="O47" i="5"/>
  <c r="N47" i="5"/>
  <c r="M47" i="5"/>
  <c r="L47" i="5"/>
  <c r="K47" i="5"/>
  <c r="J47" i="5"/>
  <c r="I47" i="5"/>
  <c r="H47" i="5"/>
  <c r="G47" i="5"/>
  <c r="F47" i="5"/>
  <c r="E47" i="5"/>
  <c r="D47" i="5"/>
  <c r="P46" i="5"/>
  <c r="O46" i="5"/>
  <c r="N46" i="5"/>
  <c r="M46" i="5"/>
  <c r="L46" i="5"/>
  <c r="K46" i="5"/>
  <c r="J46" i="5"/>
  <c r="I46" i="5"/>
  <c r="H46" i="5"/>
  <c r="G46" i="5"/>
  <c r="F46" i="5"/>
  <c r="E46" i="5"/>
  <c r="D46" i="5"/>
  <c r="P45" i="5"/>
  <c r="O45" i="5"/>
  <c r="N45" i="5"/>
  <c r="M45" i="5"/>
  <c r="L45" i="5"/>
  <c r="K45" i="5"/>
  <c r="J45" i="5"/>
  <c r="I45" i="5"/>
  <c r="H45" i="5"/>
  <c r="G45" i="5"/>
  <c r="F45" i="5"/>
  <c r="E45" i="5"/>
  <c r="D45" i="5"/>
  <c r="P43" i="5"/>
  <c r="O43" i="5"/>
  <c r="N43" i="5"/>
  <c r="M43" i="5"/>
  <c r="L43" i="5"/>
  <c r="K43" i="5"/>
  <c r="J43" i="5"/>
  <c r="I43" i="5"/>
  <c r="H43" i="5"/>
  <c r="G43" i="5"/>
  <c r="F43" i="5"/>
  <c r="E43" i="5"/>
  <c r="D43" i="5"/>
  <c r="H41" i="5"/>
  <c r="P40" i="5"/>
  <c r="O40" i="5"/>
  <c r="N40" i="5"/>
  <c r="M40" i="5"/>
  <c r="L40" i="5"/>
  <c r="K40" i="5"/>
  <c r="J40" i="5"/>
  <c r="I40" i="5"/>
  <c r="H40" i="5"/>
  <c r="G40" i="5"/>
  <c r="F40" i="5"/>
  <c r="E40" i="5"/>
  <c r="D40" i="5"/>
  <c r="P39" i="5"/>
  <c r="O39" i="5"/>
  <c r="N39" i="5"/>
  <c r="M39" i="5"/>
  <c r="L39" i="5"/>
  <c r="K39" i="5"/>
  <c r="J39" i="5"/>
  <c r="I39" i="5"/>
  <c r="H39" i="5"/>
  <c r="G39" i="5"/>
  <c r="F39" i="5"/>
  <c r="E39" i="5"/>
  <c r="D39" i="5"/>
  <c r="P38" i="5"/>
  <c r="O38" i="5"/>
  <c r="N38" i="5"/>
  <c r="M38" i="5"/>
  <c r="L38" i="5"/>
  <c r="K38" i="5"/>
  <c r="J38" i="5"/>
  <c r="I38" i="5"/>
  <c r="H38" i="5"/>
  <c r="G38" i="5"/>
  <c r="F38" i="5"/>
  <c r="E38" i="5"/>
  <c r="D38" i="5"/>
  <c r="D37" i="5"/>
  <c r="P36" i="5"/>
  <c r="O36" i="5"/>
  <c r="N36" i="5"/>
  <c r="M36" i="5"/>
  <c r="L36" i="5"/>
  <c r="K36" i="5"/>
  <c r="J36" i="5"/>
  <c r="I36" i="5"/>
  <c r="H36" i="5"/>
  <c r="G36" i="5"/>
  <c r="F36" i="5"/>
  <c r="E36" i="5"/>
  <c r="D36" i="5"/>
  <c r="P34" i="5"/>
  <c r="O34" i="5"/>
  <c r="N34" i="5"/>
  <c r="M34" i="5"/>
  <c r="L34" i="5"/>
  <c r="K34" i="5"/>
  <c r="J34" i="5"/>
  <c r="I34" i="5"/>
  <c r="H34" i="5"/>
  <c r="G34" i="5"/>
  <c r="F34" i="5"/>
  <c r="E34" i="5"/>
  <c r="D34" i="5"/>
  <c r="H33" i="5"/>
  <c r="P32" i="5"/>
  <c r="O32" i="5"/>
  <c r="N32" i="5"/>
  <c r="M32" i="5"/>
  <c r="L32" i="5"/>
  <c r="K32" i="5"/>
  <c r="J32" i="5"/>
  <c r="I32" i="5"/>
  <c r="H32" i="5"/>
  <c r="G32" i="5"/>
  <c r="F32" i="5"/>
  <c r="E32" i="5"/>
  <c r="D32" i="5"/>
  <c r="E22" i="6"/>
  <c r="S4" i="13" s="1"/>
  <c r="E21" i="6"/>
  <c r="E20" i="6"/>
  <c r="E19" i="6"/>
  <c r="E18" i="6"/>
  <c r="E9" i="5"/>
  <c r="D3" i="5"/>
  <c r="E3" i="5"/>
  <c r="F3" i="5"/>
  <c r="G3" i="5"/>
  <c r="H3" i="5"/>
  <c r="I3" i="5"/>
  <c r="J3" i="5"/>
  <c r="K3" i="5"/>
  <c r="L3" i="5"/>
  <c r="M3" i="5"/>
  <c r="N3" i="5"/>
  <c r="O3" i="5"/>
  <c r="P3" i="5"/>
  <c r="S4" i="5"/>
  <c r="T4" i="5"/>
  <c r="D4" i="5" s="1"/>
  <c r="U4" i="5"/>
  <c r="E4" i="5" s="1"/>
  <c r="V4" i="5"/>
  <c r="F223" i="12" s="1"/>
  <c r="W4" i="5"/>
  <c r="G4" i="5" s="1"/>
  <c r="X4" i="5"/>
  <c r="H4" i="5" s="1"/>
  <c r="Y4" i="5"/>
  <c r="I4" i="5" s="1"/>
  <c r="Z4" i="5"/>
  <c r="J4" i="5" s="1"/>
  <c r="AA4" i="5"/>
  <c r="K4" i="5" s="1"/>
  <c r="AB4" i="5"/>
  <c r="L4" i="5" s="1"/>
  <c r="AC4" i="5"/>
  <c r="M4" i="5" s="1"/>
  <c r="AD4" i="5"/>
  <c r="N223" i="12" s="1"/>
  <c r="AE4" i="5"/>
  <c r="O4" i="5" s="1"/>
  <c r="AF4" i="5"/>
  <c r="P4" i="5" s="1"/>
  <c r="D5" i="5"/>
  <c r="E5" i="5"/>
  <c r="F5" i="5"/>
  <c r="G5" i="5"/>
  <c r="H5" i="5"/>
  <c r="I5" i="5"/>
  <c r="J5" i="5"/>
  <c r="K5" i="5"/>
  <c r="L5" i="5"/>
  <c r="M5" i="5"/>
  <c r="N5" i="5"/>
  <c r="O5" i="5"/>
  <c r="P5" i="5"/>
  <c r="D7" i="5"/>
  <c r="E7" i="5"/>
  <c r="F7" i="5"/>
  <c r="G7" i="5"/>
  <c r="H7" i="5"/>
  <c r="I7" i="5"/>
  <c r="J7" i="5"/>
  <c r="K7" i="5"/>
  <c r="L7" i="5"/>
  <c r="M7" i="5"/>
  <c r="N7" i="5"/>
  <c r="O7" i="5"/>
  <c r="P7" i="5"/>
  <c r="S8" i="5"/>
  <c r="T8" i="5"/>
  <c r="D8" i="5" s="1"/>
  <c r="U8" i="5"/>
  <c r="E8" i="5" s="1"/>
  <c r="V8" i="5"/>
  <c r="F8" i="5" s="1"/>
  <c r="W8" i="5"/>
  <c r="G8" i="5" s="1"/>
  <c r="X8" i="5"/>
  <c r="H8" i="5" s="1"/>
  <c r="Y8" i="5"/>
  <c r="I8" i="5" s="1"/>
  <c r="Z8" i="5"/>
  <c r="J8" i="5" s="1"/>
  <c r="AA8" i="5"/>
  <c r="K8" i="5" s="1"/>
  <c r="AB8" i="5"/>
  <c r="L8" i="5" s="1"/>
  <c r="AC8" i="5"/>
  <c r="M8" i="5" s="1"/>
  <c r="AD8" i="5"/>
  <c r="N8" i="5" s="1"/>
  <c r="AE8" i="5"/>
  <c r="O8" i="5" s="1"/>
  <c r="AF8" i="5"/>
  <c r="P8" i="5" s="1"/>
  <c r="D9" i="5"/>
  <c r="F9" i="5"/>
  <c r="G9" i="5"/>
  <c r="H9" i="5"/>
  <c r="I9" i="5"/>
  <c r="J9" i="5"/>
  <c r="K9" i="5"/>
  <c r="L9" i="5"/>
  <c r="M9" i="5"/>
  <c r="N9" i="5"/>
  <c r="O9" i="5"/>
  <c r="P9" i="5"/>
  <c r="D10" i="5"/>
  <c r="I10" i="5"/>
  <c r="J10" i="5"/>
  <c r="K10" i="5"/>
  <c r="L10" i="5"/>
  <c r="M10" i="5"/>
  <c r="N10" i="5"/>
  <c r="O10" i="5"/>
  <c r="P10" i="5"/>
  <c r="D11" i="5"/>
  <c r="I11" i="5"/>
  <c r="J11" i="5"/>
  <c r="K11" i="5"/>
  <c r="L11" i="5"/>
  <c r="M11" i="5"/>
  <c r="N11" i="5"/>
  <c r="O11" i="5"/>
  <c r="P11" i="5"/>
  <c r="S12" i="5"/>
  <c r="S13" i="5" s="1"/>
  <c r="T12" i="5"/>
  <c r="D12" i="5" s="1"/>
  <c r="U12" i="5"/>
  <c r="E12" i="5" s="1"/>
  <c r="V12" i="5"/>
  <c r="F12" i="5" s="1"/>
  <c r="W12" i="5"/>
  <c r="G12" i="5" s="1"/>
  <c r="X12" i="5"/>
  <c r="H12" i="5" s="1"/>
  <c r="Y12" i="5"/>
  <c r="I12" i="5" s="1"/>
  <c r="Z12" i="5"/>
  <c r="J12" i="5" s="1"/>
  <c r="AA12" i="5"/>
  <c r="K12" i="5" s="1"/>
  <c r="AB12" i="5"/>
  <c r="L12" i="5" s="1"/>
  <c r="AC12" i="5"/>
  <c r="M12" i="5" s="1"/>
  <c r="AD12" i="5"/>
  <c r="N12" i="5" s="1"/>
  <c r="AE12" i="5"/>
  <c r="AE13" i="5" s="1"/>
  <c r="O13" i="5" s="1"/>
  <c r="AF12" i="5"/>
  <c r="P12" i="5" s="1"/>
  <c r="T13" i="5"/>
  <c r="D13" i="5" s="1"/>
  <c r="AA13" i="5"/>
  <c r="K13" i="5" s="1"/>
  <c r="AB13" i="5"/>
  <c r="L13" i="5" s="1"/>
  <c r="AF13" i="5"/>
  <c r="P13" i="5" s="1"/>
  <c r="D14" i="5"/>
  <c r="I14" i="5"/>
  <c r="J14" i="5"/>
  <c r="K14" i="5"/>
  <c r="L14" i="5"/>
  <c r="M14" i="5"/>
  <c r="N14" i="5"/>
  <c r="O14" i="5"/>
  <c r="P14" i="5"/>
  <c r="S15" i="5"/>
  <c r="T15" i="5"/>
  <c r="D15" i="5" s="1"/>
  <c r="U15" i="5"/>
  <c r="E15" i="5" s="1"/>
  <c r="V15" i="5"/>
  <c r="F15" i="5" s="1"/>
  <c r="W15" i="5"/>
  <c r="G15" i="5" s="1"/>
  <c r="X15" i="5"/>
  <c r="H15" i="5" s="1"/>
  <c r="Y15" i="5"/>
  <c r="I15" i="5" s="1"/>
  <c r="Z15" i="5"/>
  <c r="J15" i="5" s="1"/>
  <c r="AA15" i="5"/>
  <c r="K15" i="5" s="1"/>
  <c r="AB15" i="5"/>
  <c r="L15" i="5" s="1"/>
  <c r="AC15" i="5"/>
  <c r="M15" i="5" s="1"/>
  <c r="AD15" i="5"/>
  <c r="N15" i="5" s="1"/>
  <c r="AE15" i="5"/>
  <c r="O15" i="5" s="1"/>
  <c r="AF15" i="5"/>
  <c r="P15" i="5" s="1"/>
  <c r="I16" i="5"/>
  <c r="J16" i="5"/>
  <c r="K16" i="5"/>
  <c r="L16" i="5"/>
  <c r="M16" i="5"/>
  <c r="N16" i="5"/>
  <c r="O16" i="5"/>
  <c r="P16" i="5"/>
  <c r="D17" i="5"/>
  <c r="E17" i="5"/>
  <c r="F17" i="5"/>
  <c r="G17" i="5"/>
  <c r="H17" i="5"/>
  <c r="I17" i="5"/>
  <c r="J17" i="5"/>
  <c r="K17" i="5"/>
  <c r="L17" i="5"/>
  <c r="M17" i="5"/>
  <c r="N17" i="5"/>
  <c r="O17" i="5"/>
  <c r="P17" i="5"/>
  <c r="D18" i="5"/>
  <c r="E18" i="5"/>
  <c r="F18" i="5"/>
  <c r="G18" i="5"/>
  <c r="H18" i="5"/>
  <c r="I18" i="5"/>
  <c r="J18" i="5"/>
  <c r="K18" i="5"/>
  <c r="L18" i="5"/>
  <c r="M18" i="5"/>
  <c r="N18" i="5"/>
  <c r="O18" i="5"/>
  <c r="P18" i="5"/>
  <c r="D19" i="5"/>
  <c r="E19" i="5"/>
  <c r="F19" i="5"/>
  <c r="G19" i="5"/>
  <c r="H19" i="5"/>
  <c r="I19" i="5"/>
  <c r="J19" i="5"/>
  <c r="K19" i="5"/>
  <c r="L19" i="5"/>
  <c r="M19" i="5"/>
  <c r="N19" i="5"/>
  <c r="O19" i="5"/>
  <c r="P19" i="5"/>
  <c r="D20" i="5"/>
  <c r="E20" i="5"/>
  <c r="F20" i="5"/>
  <c r="G20" i="5"/>
  <c r="H20" i="5"/>
  <c r="I20" i="5"/>
  <c r="J20" i="5"/>
  <c r="K20" i="5"/>
  <c r="L20" i="5"/>
  <c r="M20" i="5"/>
  <c r="N20" i="5"/>
  <c r="O20" i="5"/>
  <c r="P20" i="5"/>
  <c r="D21" i="5"/>
  <c r="E21" i="5"/>
  <c r="F21" i="5"/>
  <c r="G21" i="5"/>
  <c r="H21" i="5"/>
  <c r="I21" i="5"/>
  <c r="J21" i="5"/>
  <c r="K21" i="5"/>
  <c r="L21" i="5"/>
  <c r="M21" i="5"/>
  <c r="N21" i="5"/>
  <c r="O21" i="5"/>
  <c r="P21" i="5"/>
  <c r="D22" i="5"/>
  <c r="E22" i="5"/>
  <c r="F22" i="5"/>
  <c r="G22" i="5"/>
  <c r="H22" i="5"/>
  <c r="I22" i="5"/>
  <c r="J22" i="5"/>
  <c r="K22" i="5"/>
  <c r="L22" i="5"/>
  <c r="M22" i="5"/>
  <c r="N22" i="5"/>
  <c r="O22" i="5"/>
  <c r="P22" i="5"/>
  <c r="D23" i="5"/>
  <c r="E23" i="5"/>
  <c r="F23" i="5"/>
  <c r="G23" i="5"/>
  <c r="H23" i="5"/>
  <c r="I23" i="5"/>
  <c r="J23" i="5"/>
  <c r="K23" i="5"/>
  <c r="L23" i="5"/>
  <c r="M23" i="5"/>
  <c r="N23" i="5"/>
  <c r="O23" i="5"/>
  <c r="P23" i="5"/>
  <c r="D24" i="5"/>
  <c r="E24" i="5"/>
  <c r="F24" i="5"/>
  <c r="G24" i="5"/>
  <c r="H24" i="5"/>
  <c r="I24" i="5"/>
  <c r="J24" i="5"/>
  <c r="K24" i="5"/>
  <c r="L24" i="5"/>
  <c r="M24" i="5"/>
  <c r="N24" i="5"/>
  <c r="O24" i="5"/>
  <c r="P24" i="5"/>
  <c r="D25" i="5"/>
  <c r="E25" i="5"/>
  <c r="F25" i="5"/>
  <c r="G25" i="5"/>
  <c r="H25" i="5"/>
  <c r="I25" i="5"/>
  <c r="J25" i="5"/>
  <c r="K25" i="5"/>
  <c r="L25" i="5"/>
  <c r="M25" i="5"/>
  <c r="N25" i="5"/>
  <c r="O25" i="5"/>
  <c r="P25" i="5"/>
  <c r="D26" i="5"/>
  <c r="E26" i="5"/>
  <c r="F26" i="5"/>
  <c r="G26" i="5"/>
  <c r="H26" i="5"/>
  <c r="I26" i="5"/>
  <c r="J26" i="5"/>
  <c r="K26" i="5"/>
  <c r="L26" i="5"/>
  <c r="M26" i="5"/>
  <c r="N26" i="5"/>
  <c r="O26" i="5"/>
  <c r="P26" i="5"/>
  <c r="D27" i="5"/>
  <c r="E27" i="5"/>
  <c r="F27" i="5"/>
  <c r="G27" i="5"/>
  <c r="H27" i="5"/>
  <c r="I27" i="5"/>
  <c r="J27" i="5"/>
  <c r="K27" i="5"/>
  <c r="L27" i="5"/>
  <c r="M27" i="5"/>
  <c r="N27" i="5"/>
  <c r="O27" i="5"/>
  <c r="P27" i="5"/>
  <c r="D28" i="5"/>
  <c r="E28" i="5"/>
  <c r="F28" i="5"/>
  <c r="G28" i="5"/>
  <c r="H28" i="5"/>
  <c r="I28" i="5"/>
  <c r="J28" i="5"/>
  <c r="K28" i="5"/>
  <c r="L28" i="5"/>
  <c r="M28" i="5"/>
  <c r="N28" i="5"/>
  <c r="O28" i="5"/>
  <c r="P28" i="5"/>
  <c r="S33" i="5"/>
  <c r="D33" i="5" s="1"/>
  <c r="T33" i="5"/>
  <c r="E33" i="5" s="1"/>
  <c r="U33" i="5"/>
  <c r="F33" i="5" s="1"/>
  <c r="V33" i="5"/>
  <c r="G33" i="5" s="1"/>
  <c r="W33" i="5"/>
  <c r="X33" i="5"/>
  <c r="I33" i="5" s="1"/>
  <c r="Y33" i="5"/>
  <c r="J33" i="5" s="1"/>
  <c r="Z33" i="5"/>
  <c r="K33" i="5" s="1"/>
  <c r="AA33" i="5"/>
  <c r="L33" i="5" s="1"/>
  <c r="AB33" i="5"/>
  <c r="M33" i="5" s="1"/>
  <c r="AC33" i="5"/>
  <c r="N33" i="5" s="1"/>
  <c r="AD33" i="5"/>
  <c r="O33" i="5" s="1"/>
  <c r="AE33" i="5"/>
  <c r="P33" i="5" s="1"/>
  <c r="AF33" i="5"/>
  <c r="S35" i="5"/>
  <c r="D35" i="5" s="1"/>
  <c r="T35" i="5"/>
  <c r="E35" i="5" s="1"/>
  <c r="U35" i="5"/>
  <c r="F35" i="5" s="1"/>
  <c r="V35" i="5"/>
  <c r="G35" i="5" s="1"/>
  <c r="W35" i="5"/>
  <c r="H35" i="5" s="1"/>
  <c r="X35" i="5"/>
  <c r="I35" i="5" s="1"/>
  <c r="Y35" i="5"/>
  <c r="J35" i="5" s="1"/>
  <c r="Z35" i="5"/>
  <c r="K35" i="5" s="1"/>
  <c r="AA35" i="5"/>
  <c r="L35" i="5" s="1"/>
  <c r="AB35" i="5"/>
  <c r="M35" i="5" s="1"/>
  <c r="AC35" i="5"/>
  <c r="N35" i="5" s="1"/>
  <c r="AD35" i="5"/>
  <c r="O35" i="5" s="1"/>
  <c r="AE35" i="5"/>
  <c r="P35" i="5" s="1"/>
  <c r="AF35" i="5"/>
  <c r="S37" i="5"/>
  <c r="T37" i="5"/>
  <c r="E37" i="5" s="1"/>
  <c r="U37" i="5"/>
  <c r="F37" i="5" s="1"/>
  <c r="V37" i="5"/>
  <c r="G37" i="5" s="1"/>
  <c r="W37" i="5"/>
  <c r="H37" i="5" s="1"/>
  <c r="X37" i="5"/>
  <c r="I37" i="5" s="1"/>
  <c r="Y37" i="5"/>
  <c r="J37" i="5" s="1"/>
  <c r="Z37" i="5"/>
  <c r="K37" i="5" s="1"/>
  <c r="AA37" i="5"/>
  <c r="L37" i="5" s="1"/>
  <c r="AB37" i="5"/>
  <c r="M37" i="5" s="1"/>
  <c r="AC37" i="5"/>
  <c r="N37" i="5" s="1"/>
  <c r="AD37" i="5"/>
  <c r="O37" i="5" s="1"/>
  <c r="AE37" i="5"/>
  <c r="P37" i="5" s="1"/>
  <c r="AF37" i="5"/>
  <c r="S41" i="5"/>
  <c r="S42" i="5" s="1"/>
  <c r="D42" i="5" s="1"/>
  <c r="T41" i="5"/>
  <c r="E41" i="5" s="1"/>
  <c r="U41" i="5"/>
  <c r="F41" i="5" s="1"/>
  <c r="V41" i="5"/>
  <c r="G41" i="5" s="1"/>
  <c r="W41" i="5"/>
  <c r="X41" i="5"/>
  <c r="I41" i="5" s="1"/>
  <c r="Y41" i="5"/>
  <c r="J41" i="5" s="1"/>
  <c r="Z41" i="5"/>
  <c r="K41" i="5" s="1"/>
  <c r="AA41" i="5"/>
  <c r="L41" i="5" s="1"/>
  <c r="AB41" i="5"/>
  <c r="M41" i="5" s="1"/>
  <c r="AC41" i="5"/>
  <c r="N41" i="5" s="1"/>
  <c r="AD41" i="5"/>
  <c r="O41" i="5" s="1"/>
  <c r="AE41" i="5"/>
  <c r="P41" i="5" s="1"/>
  <c r="AF41" i="5"/>
  <c r="AF42" i="5" s="1"/>
  <c r="U42" i="5"/>
  <c r="F42" i="5" s="1"/>
  <c r="Y42" i="5"/>
  <c r="J42" i="5" s="1"/>
  <c r="AC42" i="5"/>
  <c r="N42" i="5" s="1"/>
  <c r="S44" i="5"/>
  <c r="D44" i="5" s="1"/>
  <c r="T44" i="5"/>
  <c r="E44" i="5" s="1"/>
  <c r="U44" i="5"/>
  <c r="F44" i="5" s="1"/>
  <c r="V44" i="5"/>
  <c r="G44" i="5" s="1"/>
  <c r="W44" i="5"/>
  <c r="H44" i="5" s="1"/>
  <c r="X44" i="5"/>
  <c r="I44" i="5" s="1"/>
  <c r="Y44" i="5"/>
  <c r="J44" i="5" s="1"/>
  <c r="Z44" i="5"/>
  <c r="K44" i="5" s="1"/>
  <c r="AA44" i="5"/>
  <c r="L44" i="5" s="1"/>
  <c r="AB44" i="5"/>
  <c r="M44" i="5" s="1"/>
  <c r="AC44" i="5"/>
  <c r="N44" i="5" s="1"/>
  <c r="AD44" i="5"/>
  <c r="O44" i="5" s="1"/>
  <c r="AE44" i="5"/>
  <c r="P44" i="5" s="1"/>
  <c r="AF44" i="5"/>
  <c r="E7" i="6"/>
  <c r="AB12" i="6" l="1"/>
  <c r="D13" i="6"/>
  <c r="AC21" i="6"/>
  <c r="M22" i="6"/>
  <c r="N446" i="12"/>
  <c r="AF20" i="13"/>
  <c r="AI20" i="13" s="1"/>
  <c r="I16" i="13"/>
  <c r="S16" i="13" s="1"/>
  <c r="Z16" i="13" s="1"/>
  <c r="AF14" i="13"/>
  <c r="AI14" i="13" s="1"/>
  <c r="AL14" i="13" s="1"/>
  <c r="AM14" i="13" s="1"/>
  <c r="AG14" i="13"/>
  <c r="AJ14" i="13" s="1"/>
  <c r="AF10" i="13"/>
  <c r="AI10" i="13" s="1"/>
  <c r="AF12" i="13"/>
  <c r="AI12" i="13" s="1"/>
  <c r="AG16" i="13"/>
  <c r="AJ16" i="13" s="1"/>
  <c r="AF16" i="13"/>
  <c r="AI16" i="13" s="1"/>
  <c r="AF6" i="13"/>
  <c r="AI6" i="13" s="1"/>
  <c r="AG8" i="13"/>
  <c r="AJ8" i="13" s="1"/>
  <c r="I18" i="13"/>
  <c r="S18" i="13" s="1"/>
  <c r="Z18" i="13" s="1"/>
  <c r="AF8" i="13"/>
  <c r="AI8" i="13" s="1"/>
  <c r="AG10" i="13"/>
  <c r="AJ10" i="13" s="1"/>
  <c r="AG12" i="13"/>
  <c r="AJ12" i="13" s="1"/>
  <c r="AL12" i="13" s="1"/>
  <c r="AM12" i="13" s="1"/>
  <c r="AH16" i="13"/>
  <c r="AK16" i="13" s="1"/>
  <c r="AG20" i="13"/>
  <c r="AJ20" i="13" s="1"/>
  <c r="I14" i="13"/>
  <c r="P14" i="13" s="1"/>
  <c r="W14" i="13" s="1"/>
  <c r="AG6" i="13"/>
  <c r="AJ6" i="13" s="1"/>
  <c r="AF18" i="13"/>
  <c r="AI18" i="13" s="1"/>
  <c r="AL18" i="13" s="1"/>
  <c r="AM18" i="13" s="1"/>
  <c r="AH8" i="13"/>
  <c r="AK8" i="13" s="1"/>
  <c r="I20" i="13"/>
  <c r="O20" i="13" s="1"/>
  <c r="V20" i="13" s="1"/>
  <c r="I10" i="13"/>
  <c r="N10" i="13" s="1"/>
  <c r="U10" i="13" s="1"/>
  <c r="J18" i="13"/>
  <c r="J20" i="13"/>
  <c r="N16" i="13"/>
  <c r="U16" i="13" s="1"/>
  <c r="R16" i="13"/>
  <c r="Y16" i="13" s="1"/>
  <c r="O16" i="13"/>
  <c r="V16" i="13" s="1"/>
  <c r="P16" i="13"/>
  <c r="W16" i="13" s="1"/>
  <c r="Q16" i="13"/>
  <c r="X16" i="13" s="1"/>
  <c r="J16" i="13"/>
  <c r="J14" i="13"/>
  <c r="N12" i="13"/>
  <c r="U12" i="13" s="1"/>
  <c r="R12" i="13"/>
  <c r="Y12" i="13" s="1"/>
  <c r="P12" i="13"/>
  <c r="W12" i="13" s="1"/>
  <c r="O12" i="13"/>
  <c r="V12" i="13" s="1"/>
  <c r="S12" i="13"/>
  <c r="Z12" i="13" s="1"/>
  <c r="Q12" i="13"/>
  <c r="X12" i="13" s="1"/>
  <c r="J10" i="13"/>
  <c r="J12" i="13"/>
  <c r="I8" i="13"/>
  <c r="N8" i="13" s="1"/>
  <c r="U8" i="13" s="1"/>
  <c r="J8" i="13"/>
  <c r="Q6" i="13"/>
  <c r="X6" i="13" s="1"/>
  <c r="R6" i="13"/>
  <c r="Y6" i="13" s="1"/>
  <c r="N6" i="13"/>
  <c r="U6" i="13" s="1"/>
  <c r="O6" i="13"/>
  <c r="V6" i="13" s="1"/>
  <c r="S6" i="13"/>
  <c r="Z6" i="13" s="1"/>
  <c r="P6" i="13"/>
  <c r="W6" i="13" s="1"/>
  <c r="N29" i="12"/>
  <c r="N200" i="12"/>
  <c r="M20" i="6"/>
  <c r="M21" i="6"/>
  <c r="L13" i="6"/>
  <c r="AC18" i="6"/>
  <c r="D12" i="6"/>
  <c r="D17" i="6" s="1"/>
  <c r="A6" i="12"/>
  <c r="A10" i="12"/>
  <c r="C10" i="12" s="1"/>
  <c r="A17" i="12"/>
  <c r="C17" i="12" s="1"/>
  <c r="A24" i="12"/>
  <c r="C24" i="12" s="1"/>
  <c r="A28" i="12"/>
  <c r="C28" i="12" s="1"/>
  <c r="A35" i="12"/>
  <c r="C35" i="12" s="1"/>
  <c r="A42" i="12"/>
  <c r="C42" i="12" s="1"/>
  <c r="A46" i="12"/>
  <c r="C46" i="12" s="1"/>
  <c r="A53" i="12"/>
  <c r="C53" i="12" s="1"/>
  <c r="A60" i="12"/>
  <c r="C60" i="12" s="1"/>
  <c r="A64" i="12"/>
  <c r="C64" i="12" s="1"/>
  <c r="A71" i="12"/>
  <c r="C71" i="12" s="1"/>
  <c r="A78" i="12"/>
  <c r="C78" i="12" s="1"/>
  <c r="A82" i="12"/>
  <c r="C82" i="12" s="1"/>
  <c r="A89" i="12"/>
  <c r="C89" i="12" s="1"/>
  <c r="A96" i="12"/>
  <c r="C96" i="12" s="1"/>
  <c r="A100" i="12"/>
  <c r="C100" i="12" s="1"/>
  <c r="A107" i="12"/>
  <c r="C107" i="12" s="1"/>
  <c r="A114" i="12"/>
  <c r="C114" i="12" s="1"/>
  <c r="A118" i="12"/>
  <c r="C118" i="12" s="1"/>
  <c r="A125" i="12"/>
  <c r="A132" i="12"/>
  <c r="C132" i="12" s="1"/>
  <c r="A136" i="12"/>
  <c r="C136" i="12" s="1"/>
  <c r="A143" i="12"/>
  <c r="C143" i="12" s="1"/>
  <c r="A150" i="12"/>
  <c r="A154" i="12"/>
  <c r="C154" i="12" s="1"/>
  <c r="A428" i="12"/>
  <c r="AG17" i="6"/>
  <c r="A7" i="12"/>
  <c r="C7" i="12" s="1"/>
  <c r="A11" i="12"/>
  <c r="A18" i="12"/>
  <c r="C18" i="12" s="1"/>
  <c r="A25" i="12"/>
  <c r="C25" i="12" s="1"/>
  <c r="A29" i="12"/>
  <c r="A36" i="12"/>
  <c r="C36" i="12" s="1"/>
  <c r="A43" i="12"/>
  <c r="C43" i="12" s="1"/>
  <c r="A47" i="12"/>
  <c r="A54" i="12"/>
  <c r="A61" i="12"/>
  <c r="C61" i="12" s="1"/>
  <c r="A65" i="12"/>
  <c r="A72" i="12"/>
  <c r="C72" i="12" s="1"/>
  <c r="A79" i="12"/>
  <c r="A83" i="12"/>
  <c r="A90" i="12"/>
  <c r="C90" i="12" s="1"/>
  <c r="A97" i="12"/>
  <c r="C97" i="12" s="1"/>
  <c r="A101" i="12"/>
  <c r="A108" i="12"/>
  <c r="C108" i="12" s="1"/>
  <c r="A115" i="12"/>
  <c r="C115" i="12" s="1"/>
  <c r="A119" i="12"/>
  <c r="A126" i="12"/>
  <c r="A133" i="12"/>
  <c r="C133" i="12" s="1"/>
  <c r="A137" i="12"/>
  <c r="A144" i="12"/>
  <c r="C144" i="12" s="1"/>
  <c r="A151" i="12"/>
  <c r="C151" i="12" s="1"/>
  <c r="A155" i="12"/>
  <c r="A410" i="12"/>
  <c r="A8" i="12"/>
  <c r="A15" i="12"/>
  <c r="A19" i="12"/>
  <c r="C19" i="12" s="1"/>
  <c r="A26" i="12"/>
  <c r="C26" i="12" s="1"/>
  <c r="A33" i="12"/>
  <c r="C33" i="12" s="1"/>
  <c r="A37" i="12"/>
  <c r="C37" i="12" s="1"/>
  <c r="A44" i="12"/>
  <c r="C44" i="12" s="1"/>
  <c r="A51" i="12"/>
  <c r="C51" i="12" s="1"/>
  <c r="A55" i="12"/>
  <c r="C55" i="12" s="1"/>
  <c r="A62" i="12"/>
  <c r="A69" i="12"/>
  <c r="C69" i="12" s="1"/>
  <c r="A73" i="12"/>
  <c r="C73" i="12" s="1"/>
  <c r="A80" i="12"/>
  <c r="C80" i="12" s="1"/>
  <c r="A87" i="12"/>
  <c r="C87" i="12" s="1"/>
  <c r="A91" i="12"/>
  <c r="C91" i="12" s="1"/>
  <c r="A98" i="12"/>
  <c r="C98" i="12" s="1"/>
  <c r="A105" i="12"/>
  <c r="C105" i="12" s="1"/>
  <c r="A109" i="12"/>
  <c r="A116" i="12"/>
  <c r="C116" i="12" s="1"/>
  <c r="A123" i="12"/>
  <c r="A127" i="12"/>
  <c r="C127" i="12" s="1"/>
  <c r="A134" i="12"/>
  <c r="A437" i="12"/>
  <c r="A9" i="12"/>
  <c r="C9" i="12" s="1"/>
  <c r="A16" i="12"/>
  <c r="C16" i="12" s="1"/>
  <c r="A20" i="12"/>
  <c r="A27" i="12"/>
  <c r="C27" i="12" s="1"/>
  <c r="A34" i="12"/>
  <c r="C34" i="12" s="1"/>
  <c r="A38" i="12"/>
  <c r="A45" i="12"/>
  <c r="C45" i="12" s="1"/>
  <c r="A52" i="12"/>
  <c r="C52" i="12" s="1"/>
  <c r="A56" i="12"/>
  <c r="A63" i="12"/>
  <c r="C63" i="12" s="1"/>
  <c r="A70" i="12"/>
  <c r="A74" i="12"/>
  <c r="A81" i="12"/>
  <c r="C81" i="12" s="1"/>
  <c r="A88" i="12"/>
  <c r="C88" i="12" s="1"/>
  <c r="A92" i="12"/>
  <c r="A99" i="12"/>
  <c r="C99" i="12" s="1"/>
  <c r="A106" i="12"/>
  <c r="C106" i="12" s="1"/>
  <c r="A110" i="12"/>
  <c r="A117" i="12"/>
  <c r="A124" i="12"/>
  <c r="C124" i="12" s="1"/>
  <c r="A128" i="12"/>
  <c r="A135" i="12"/>
  <c r="C135" i="12" s="1"/>
  <c r="A153" i="12"/>
  <c r="A401" i="12"/>
  <c r="A419" i="12"/>
  <c r="A187" i="12"/>
  <c r="C187" i="12" s="1"/>
  <c r="A195" i="12"/>
  <c r="C195" i="12" s="1"/>
  <c r="A168" i="12"/>
  <c r="C168" i="12" s="1"/>
  <c r="A186" i="12"/>
  <c r="C186" i="12" s="1"/>
  <c r="A204" i="12"/>
  <c r="C204" i="12" s="1"/>
  <c r="A159" i="12"/>
  <c r="C159" i="12" s="1"/>
  <c r="A178" i="12"/>
  <c r="C178" i="12" s="1"/>
  <c r="A169" i="12"/>
  <c r="C169" i="12" s="1"/>
  <c r="A205" i="12"/>
  <c r="C205" i="12" s="1"/>
  <c r="A160" i="12"/>
  <c r="AC20" i="6"/>
  <c r="A161" i="12"/>
  <c r="C161" i="12" s="1"/>
  <c r="A170" i="12"/>
  <c r="C170" i="12" s="1"/>
  <c r="A179" i="12"/>
  <c r="C179" i="12" s="1"/>
  <c r="A188" i="12"/>
  <c r="C188" i="12" s="1"/>
  <c r="A197" i="12"/>
  <c r="C197" i="12" s="1"/>
  <c r="A189" i="12"/>
  <c r="C189" i="12" s="1"/>
  <c r="A162" i="12"/>
  <c r="C162" i="12" s="1"/>
  <c r="A198" i="12"/>
  <c r="C198" i="12" s="1"/>
  <c r="A171" i="12"/>
  <c r="C171" i="12" s="1"/>
  <c r="A207" i="12"/>
  <c r="C207" i="12" s="1"/>
  <c r="A163" i="12"/>
  <c r="C163" i="12" s="1"/>
  <c r="A181" i="12"/>
  <c r="C181" i="12" s="1"/>
  <c r="A199" i="12"/>
  <c r="C199" i="12" s="1"/>
  <c r="C436" i="12"/>
  <c r="L436" i="12" s="1"/>
  <c r="A172" i="12"/>
  <c r="C172" i="12" s="1"/>
  <c r="A190" i="12"/>
  <c r="C190" i="12" s="1"/>
  <c r="C244" i="12"/>
  <c r="J244" i="12" s="1"/>
  <c r="AB22" i="6"/>
  <c r="AD17" i="6" s="1"/>
  <c r="T20" i="6"/>
  <c r="T18" i="6"/>
  <c r="T17" i="6"/>
  <c r="L17" i="6"/>
  <c r="AC13" i="6"/>
  <c r="AD13" i="6" s="1"/>
  <c r="AB15" i="6" s="1"/>
  <c r="AB19" i="6"/>
  <c r="AD20" i="6" s="1"/>
  <c r="AB20" i="6"/>
  <c r="AD19" i="6" s="1"/>
  <c r="AB17" i="6"/>
  <c r="AD22" i="6" s="1"/>
  <c r="AB21" i="6"/>
  <c r="AD18" i="6" s="1"/>
  <c r="AB18" i="6"/>
  <c r="AD21" i="6" s="1"/>
  <c r="C196" i="12"/>
  <c r="N196" i="12" s="1"/>
  <c r="N47" i="12"/>
  <c r="N83" i="12"/>
  <c r="N119" i="12"/>
  <c r="N209" i="12"/>
  <c r="N191" i="12"/>
  <c r="C206" i="12"/>
  <c r="C208" i="12"/>
  <c r="K209" i="12"/>
  <c r="D209" i="12"/>
  <c r="H209" i="12"/>
  <c r="L209" i="12"/>
  <c r="G209" i="12"/>
  <c r="E209" i="12"/>
  <c r="I209" i="12"/>
  <c r="M209" i="12"/>
  <c r="F209" i="12"/>
  <c r="J209" i="12"/>
  <c r="D200" i="12"/>
  <c r="L200" i="12"/>
  <c r="E200" i="12"/>
  <c r="I200" i="12"/>
  <c r="M200" i="12"/>
  <c r="G200" i="12"/>
  <c r="K200" i="12"/>
  <c r="H200" i="12"/>
  <c r="F200" i="12"/>
  <c r="J200" i="12"/>
  <c r="K191" i="12"/>
  <c r="D191" i="12"/>
  <c r="H191" i="12"/>
  <c r="L191" i="12"/>
  <c r="G191" i="12"/>
  <c r="E191" i="12"/>
  <c r="I191" i="12"/>
  <c r="M191" i="12"/>
  <c r="F191" i="12"/>
  <c r="J191" i="12"/>
  <c r="K182" i="12"/>
  <c r="D182" i="12"/>
  <c r="H182" i="12"/>
  <c r="L182" i="12"/>
  <c r="C177" i="12"/>
  <c r="C180" i="12"/>
  <c r="G182" i="12"/>
  <c r="E182" i="12"/>
  <c r="I182" i="12"/>
  <c r="M182" i="12"/>
  <c r="F182" i="12"/>
  <c r="J182" i="12"/>
  <c r="K173" i="12"/>
  <c r="D173" i="12"/>
  <c r="H173" i="12"/>
  <c r="L173" i="12"/>
  <c r="G173" i="12"/>
  <c r="E173" i="12"/>
  <c r="I173" i="12"/>
  <c r="M173" i="12"/>
  <c r="F173" i="12"/>
  <c r="J173" i="12"/>
  <c r="K164" i="12"/>
  <c r="L164" i="12"/>
  <c r="E164" i="12"/>
  <c r="I164" i="12"/>
  <c r="M164" i="12"/>
  <c r="C160" i="12"/>
  <c r="G164" i="12"/>
  <c r="D164" i="12"/>
  <c r="H164" i="12"/>
  <c r="F164" i="12"/>
  <c r="J164" i="12"/>
  <c r="N11" i="12"/>
  <c r="C150" i="12"/>
  <c r="C152" i="12"/>
  <c r="K155" i="12"/>
  <c r="F419" i="12"/>
  <c r="J419" i="12"/>
  <c r="N419" i="12"/>
  <c r="D155" i="12"/>
  <c r="H155" i="12"/>
  <c r="C415" i="12"/>
  <c r="L415" i="12" s="1"/>
  <c r="E437" i="12"/>
  <c r="I437" i="12"/>
  <c r="M437" i="12"/>
  <c r="E155" i="12"/>
  <c r="I155" i="12"/>
  <c r="C153" i="12"/>
  <c r="G155" i="12"/>
  <c r="C416" i="12"/>
  <c r="M416" i="12" s="1"/>
  <c r="F437" i="12"/>
  <c r="J437" i="12"/>
  <c r="N437" i="12"/>
  <c r="F155" i="12"/>
  <c r="J155" i="12"/>
  <c r="C141" i="12"/>
  <c r="N141" i="12" s="1"/>
  <c r="N137" i="12"/>
  <c r="C142" i="12"/>
  <c r="C145" i="12"/>
  <c r="K146" i="12"/>
  <c r="H146" i="12"/>
  <c r="E146" i="12"/>
  <c r="I146" i="12"/>
  <c r="M146" i="12"/>
  <c r="G146" i="12"/>
  <c r="D146" i="12"/>
  <c r="L146" i="12"/>
  <c r="F146" i="12"/>
  <c r="J146" i="12"/>
  <c r="K137" i="12"/>
  <c r="D137" i="12"/>
  <c r="H137" i="12"/>
  <c r="L137" i="12"/>
  <c r="C134" i="12"/>
  <c r="G137" i="12"/>
  <c r="E137" i="12"/>
  <c r="I137" i="12"/>
  <c r="M137" i="12"/>
  <c r="F137" i="12"/>
  <c r="J137" i="12"/>
  <c r="C70" i="12"/>
  <c r="N70" i="12" s="1"/>
  <c r="D128" i="12"/>
  <c r="H128" i="12"/>
  <c r="L128" i="12"/>
  <c r="C125" i="12"/>
  <c r="C126" i="12"/>
  <c r="K128" i="12"/>
  <c r="E128" i="12"/>
  <c r="I128" i="12"/>
  <c r="M128" i="12"/>
  <c r="C123" i="12"/>
  <c r="G128" i="12"/>
  <c r="F128" i="12"/>
  <c r="J128" i="12"/>
  <c r="K119" i="12"/>
  <c r="D119" i="12"/>
  <c r="H119" i="12"/>
  <c r="L119" i="12"/>
  <c r="C117" i="12"/>
  <c r="G119" i="12"/>
  <c r="E119" i="12"/>
  <c r="I119" i="12"/>
  <c r="M119" i="12"/>
  <c r="F119" i="12"/>
  <c r="J119" i="12"/>
  <c r="K110" i="12"/>
  <c r="D110" i="12"/>
  <c r="H110" i="12"/>
  <c r="L110" i="12"/>
  <c r="C109" i="12"/>
  <c r="G110" i="12"/>
  <c r="E110" i="12"/>
  <c r="I110" i="12"/>
  <c r="M110" i="12"/>
  <c r="F110" i="12"/>
  <c r="J110" i="12"/>
  <c r="K101" i="12"/>
  <c r="D101" i="12"/>
  <c r="H101" i="12"/>
  <c r="L101" i="12"/>
  <c r="G101" i="12"/>
  <c r="E101" i="12"/>
  <c r="I101" i="12"/>
  <c r="M101" i="12"/>
  <c r="F101" i="12"/>
  <c r="J101" i="12"/>
  <c r="K92" i="12"/>
  <c r="D92" i="12"/>
  <c r="H92" i="12"/>
  <c r="L92" i="12"/>
  <c r="G92" i="12"/>
  <c r="E92" i="12"/>
  <c r="I92" i="12"/>
  <c r="M92" i="12"/>
  <c r="F92" i="12"/>
  <c r="J92" i="12"/>
  <c r="K83" i="12"/>
  <c r="D83" i="12"/>
  <c r="H83" i="12"/>
  <c r="L83" i="12"/>
  <c r="C79" i="12"/>
  <c r="G83" i="12"/>
  <c r="E83" i="12"/>
  <c r="I83" i="12"/>
  <c r="M83" i="12"/>
  <c r="F83" i="12"/>
  <c r="J83" i="12"/>
  <c r="G74" i="12"/>
  <c r="K74" i="12"/>
  <c r="D74" i="12"/>
  <c r="H74" i="12"/>
  <c r="L74" i="12"/>
  <c r="E74" i="12"/>
  <c r="I74" i="12"/>
  <c r="M74" i="12"/>
  <c r="F74" i="12"/>
  <c r="J74" i="12"/>
  <c r="K65" i="12"/>
  <c r="L65" i="12"/>
  <c r="E65" i="12"/>
  <c r="I65" i="12"/>
  <c r="M65" i="12"/>
  <c r="C62" i="12"/>
  <c r="G65" i="12"/>
  <c r="D65" i="12"/>
  <c r="H65" i="12"/>
  <c r="F65" i="12"/>
  <c r="J65" i="12"/>
  <c r="K56" i="12"/>
  <c r="D56" i="12"/>
  <c r="H56" i="12"/>
  <c r="L56" i="12"/>
  <c r="E56" i="12"/>
  <c r="I56" i="12"/>
  <c r="M56" i="12"/>
  <c r="C54" i="12"/>
  <c r="G56" i="12"/>
  <c r="F56" i="12"/>
  <c r="J56" i="12"/>
  <c r="K47" i="12"/>
  <c r="D47" i="12"/>
  <c r="H47" i="12"/>
  <c r="L47" i="12"/>
  <c r="G47" i="12"/>
  <c r="E47" i="12"/>
  <c r="I47" i="12"/>
  <c r="M47" i="12"/>
  <c r="F47" i="12"/>
  <c r="J47" i="12"/>
  <c r="G38" i="12"/>
  <c r="D38" i="12"/>
  <c r="H38" i="12"/>
  <c r="L38" i="12"/>
  <c r="K38" i="12"/>
  <c r="E38" i="12"/>
  <c r="I38" i="12"/>
  <c r="M38" i="12"/>
  <c r="F38" i="12"/>
  <c r="J38" i="12"/>
  <c r="K29" i="12"/>
  <c r="D29" i="12"/>
  <c r="H29" i="12"/>
  <c r="L29" i="12"/>
  <c r="G29" i="12"/>
  <c r="E29" i="12"/>
  <c r="I29" i="12"/>
  <c r="M29" i="12"/>
  <c r="F29" i="12"/>
  <c r="J29" i="12"/>
  <c r="K20" i="12"/>
  <c r="D20" i="12"/>
  <c r="H20" i="12"/>
  <c r="L20" i="12"/>
  <c r="E20" i="12"/>
  <c r="I20" i="12"/>
  <c r="M20" i="12"/>
  <c r="C15" i="12"/>
  <c r="G20" i="12"/>
  <c r="F20" i="12"/>
  <c r="J20" i="12"/>
  <c r="K11" i="12"/>
  <c r="D11" i="12"/>
  <c r="H11" i="12"/>
  <c r="L11" i="12"/>
  <c r="C6" i="12"/>
  <c r="C8" i="12"/>
  <c r="G11" i="12"/>
  <c r="E11" i="12"/>
  <c r="I11" i="12"/>
  <c r="M11" i="12"/>
  <c r="F11" i="12"/>
  <c r="J11" i="12"/>
  <c r="N428" i="12"/>
  <c r="C433" i="12"/>
  <c r="K433" i="12" s="1"/>
  <c r="N269" i="12"/>
  <c r="N283" i="12"/>
  <c r="N292" i="12"/>
  <c r="N301" i="12"/>
  <c r="N310" i="12"/>
  <c r="N319" i="12"/>
  <c r="N328" i="12"/>
  <c r="N346" i="12"/>
  <c r="N365" i="12"/>
  <c r="N392" i="12"/>
  <c r="N401" i="12"/>
  <c r="N410" i="12"/>
  <c r="C434" i="12"/>
  <c r="L434" i="12" s="1"/>
  <c r="C435" i="12"/>
  <c r="L435" i="12" s="1"/>
  <c r="C432" i="12"/>
  <c r="L432" i="12" s="1"/>
  <c r="L437" i="12"/>
  <c r="M419" i="12"/>
  <c r="M414" i="12"/>
  <c r="C441" i="12"/>
  <c r="C442" i="12"/>
  <c r="C443" i="12"/>
  <c r="C444" i="12"/>
  <c r="C445" i="12"/>
  <c r="K446" i="12"/>
  <c r="G437" i="12"/>
  <c r="K437" i="12"/>
  <c r="H446" i="12"/>
  <c r="L446" i="12"/>
  <c r="G446" i="12"/>
  <c r="D437" i="12"/>
  <c r="H437" i="12"/>
  <c r="E446" i="12"/>
  <c r="I446" i="12"/>
  <c r="M446" i="12"/>
  <c r="F446" i="12"/>
  <c r="J446" i="12"/>
  <c r="K428" i="12"/>
  <c r="K414" i="12"/>
  <c r="G419" i="12"/>
  <c r="K419" i="12"/>
  <c r="D428" i="12"/>
  <c r="L428" i="12"/>
  <c r="D414" i="12"/>
  <c r="H414" i="12"/>
  <c r="L414" i="12"/>
  <c r="D419" i="12"/>
  <c r="H419" i="12"/>
  <c r="L419" i="12"/>
  <c r="E428" i="12"/>
  <c r="I428" i="12"/>
  <c r="M428" i="12"/>
  <c r="F414" i="12"/>
  <c r="J414" i="12"/>
  <c r="N414" i="12"/>
  <c r="C423" i="12"/>
  <c r="C424" i="12"/>
  <c r="C425" i="12"/>
  <c r="C426" i="12"/>
  <c r="C427" i="12"/>
  <c r="G428" i="12"/>
  <c r="G414" i="12"/>
  <c r="C417" i="12"/>
  <c r="C418" i="12"/>
  <c r="H428" i="12"/>
  <c r="E414" i="12"/>
  <c r="I414" i="12"/>
  <c r="E419" i="12"/>
  <c r="I419" i="12"/>
  <c r="F428" i="12"/>
  <c r="J428" i="12"/>
  <c r="C405" i="12"/>
  <c r="C408" i="12"/>
  <c r="K410" i="12"/>
  <c r="D410" i="12"/>
  <c r="H410" i="12"/>
  <c r="L410" i="12"/>
  <c r="C406" i="12"/>
  <c r="C407" i="12"/>
  <c r="C409" i="12"/>
  <c r="G410" i="12"/>
  <c r="E410" i="12"/>
  <c r="I410" i="12"/>
  <c r="M410" i="12"/>
  <c r="F410" i="12"/>
  <c r="J410" i="12"/>
  <c r="G401" i="12"/>
  <c r="D401" i="12"/>
  <c r="L401" i="12"/>
  <c r="E401" i="12"/>
  <c r="I401" i="12"/>
  <c r="M401" i="12"/>
  <c r="C396" i="12"/>
  <c r="C397" i="12"/>
  <c r="C398" i="12"/>
  <c r="C399" i="12"/>
  <c r="C400" i="12"/>
  <c r="K401" i="12"/>
  <c r="H401" i="12"/>
  <c r="F401" i="12"/>
  <c r="J401" i="12"/>
  <c r="C388" i="12"/>
  <c r="K392" i="12"/>
  <c r="D392" i="12"/>
  <c r="H392" i="12"/>
  <c r="L392" i="12"/>
  <c r="C387" i="12"/>
  <c r="C389" i="12"/>
  <c r="C390" i="12"/>
  <c r="C391" i="12"/>
  <c r="G392" i="12"/>
  <c r="E392" i="12"/>
  <c r="I392" i="12"/>
  <c r="M392" i="12"/>
  <c r="F392" i="12"/>
  <c r="J392" i="12"/>
  <c r="D383" i="12"/>
  <c r="E383" i="12"/>
  <c r="C378" i="12"/>
  <c r="C379" i="12"/>
  <c r="C380" i="12"/>
  <c r="C381" i="12"/>
  <c r="C382" i="12"/>
  <c r="G383" i="12"/>
  <c r="F383" i="12"/>
  <c r="N337" i="12"/>
  <c r="C369" i="12"/>
  <c r="H369" i="12" s="1"/>
  <c r="C370" i="12"/>
  <c r="C372" i="12"/>
  <c r="C373" i="12"/>
  <c r="K374" i="12"/>
  <c r="H374" i="12"/>
  <c r="C371" i="12"/>
  <c r="I374" i="12"/>
  <c r="J374" i="12"/>
  <c r="C360" i="12"/>
  <c r="N360" i="12" s="1"/>
  <c r="C361" i="12"/>
  <c r="C363" i="12"/>
  <c r="C364" i="12"/>
  <c r="K365" i="12"/>
  <c r="D365" i="12"/>
  <c r="H365" i="12"/>
  <c r="L365" i="12"/>
  <c r="E365" i="12"/>
  <c r="I365" i="12"/>
  <c r="M365" i="12"/>
  <c r="C362" i="12"/>
  <c r="G365" i="12"/>
  <c r="F365" i="12"/>
  <c r="J365" i="12"/>
  <c r="N256" i="12"/>
  <c r="N265" i="12"/>
  <c r="N274" i="12"/>
  <c r="C350" i="12"/>
  <c r="C351" i="12"/>
  <c r="H351" i="12" s="1"/>
  <c r="E355" i="12"/>
  <c r="I355" i="12"/>
  <c r="C352" i="12"/>
  <c r="C353" i="12"/>
  <c r="C354" i="12"/>
  <c r="G355" i="12"/>
  <c r="D355" i="12"/>
  <c r="H355" i="12"/>
  <c r="F355" i="12"/>
  <c r="C341" i="12"/>
  <c r="N341" i="12" s="1"/>
  <c r="C342" i="12"/>
  <c r="K346" i="12"/>
  <c r="D346" i="12"/>
  <c r="H346" i="12"/>
  <c r="L346" i="12"/>
  <c r="E346" i="12"/>
  <c r="I346" i="12"/>
  <c r="M346" i="12"/>
  <c r="C343" i="12"/>
  <c r="C344" i="12"/>
  <c r="C345" i="12"/>
  <c r="G346" i="12"/>
  <c r="F346" i="12"/>
  <c r="J346" i="12"/>
  <c r="K337" i="12"/>
  <c r="D337" i="12"/>
  <c r="L337" i="12"/>
  <c r="E337" i="12"/>
  <c r="I337" i="12"/>
  <c r="M337" i="12"/>
  <c r="C332" i="12"/>
  <c r="C333" i="12"/>
  <c r="C334" i="12"/>
  <c r="C335" i="12"/>
  <c r="C336" i="12"/>
  <c r="G337" i="12"/>
  <c r="H337" i="12"/>
  <c r="F337" i="12"/>
  <c r="J337" i="12"/>
  <c r="C323" i="12"/>
  <c r="C325" i="12"/>
  <c r="C326" i="12"/>
  <c r="C327" i="12"/>
  <c r="K328" i="12"/>
  <c r="D328" i="12"/>
  <c r="H328" i="12"/>
  <c r="L328" i="12"/>
  <c r="C324" i="12"/>
  <c r="G328" i="12"/>
  <c r="E328" i="12"/>
  <c r="I328" i="12"/>
  <c r="M328" i="12"/>
  <c r="F328" i="12"/>
  <c r="J328" i="12"/>
  <c r="C314" i="12"/>
  <c r="C316" i="12"/>
  <c r="C317" i="12"/>
  <c r="C318" i="12"/>
  <c r="K319" i="12"/>
  <c r="D319" i="12"/>
  <c r="H319" i="12"/>
  <c r="L319" i="12"/>
  <c r="C315" i="12"/>
  <c r="G319" i="12"/>
  <c r="E319" i="12"/>
  <c r="I319" i="12"/>
  <c r="M319" i="12"/>
  <c r="F319" i="12"/>
  <c r="J319" i="12"/>
  <c r="C305" i="12"/>
  <c r="C307" i="12"/>
  <c r="K310" i="12"/>
  <c r="D310" i="12"/>
  <c r="H310" i="12"/>
  <c r="L310" i="12"/>
  <c r="E310" i="12"/>
  <c r="I310" i="12"/>
  <c r="M310" i="12"/>
  <c r="C306" i="12"/>
  <c r="C308" i="12"/>
  <c r="C309" i="12"/>
  <c r="G310" i="12"/>
  <c r="F310" i="12"/>
  <c r="J310" i="12"/>
  <c r="K301" i="12"/>
  <c r="D301" i="12"/>
  <c r="H301" i="12"/>
  <c r="L301" i="12"/>
  <c r="C296" i="12"/>
  <c r="C297" i="12"/>
  <c r="C298" i="12"/>
  <c r="C299" i="12"/>
  <c r="C300" i="12"/>
  <c r="G301" i="12"/>
  <c r="E301" i="12"/>
  <c r="I301" i="12"/>
  <c r="M301" i="12"/>
  <c r="F301" i="12"/>
  <c r="J301" i="12"/>
  <c r="C289" i="12"/>
  <c r="K292" i="12"/>
  <c r="D292" i="12"/>
  <c r="H292" i="12"/>
  <c r="L292" i="12"/>
  <c r="C287" i="12"/>
  <c r="C288" i="12"/>
  <c r="C290" i="12"/>
  <c r="C291" i="12"/>
  <c r="G292" i="12"/>
  <c r="E292" i="12"/>
  <c r="I292" i="12"/>
  <c r="M292" i="12"/>
  <c r="F292" i="12"/>
  <c r="J292" i="12"/>
  <c r="C278" i="12"/>
  <c r="C281" i="12"/>
  <c r="C282" i="12"/>
  <c r="K283" i="12"/>
  <c r="D283" i="12"/>
  <c r="H283" i="12"/>
  <c r="L283" i="12"/>
  <c r="E283" i="12"/>
  <c r="I283" i="12"/>
  <c r="M283" i="12"/>
  <c r="C279" i="12"/>
  <c r="C280" i="12"/>
  <c r="G283" i="12"/>
  <c r="F283" i="12"/>
  <c r="J283" i="12"/>
  <c r="K274" i="12"/>
  <c r="H269" i="12"/>
  <c r="H274" i="12"/>
  <c r="E269" i="12"/>
  <c r="I269" i="12"/>
  <c r="M269" i="12"/>
  <c r="E274" i="12"/>
  <c r="M274" i="12"/>
  <c r="G269" i="12"/>
  <c r="K269" i="12"/>
  <c r="C270" i="12"/>
  <c r="C271" i="12"/>
  <c r="C272" i="12"/>
  <c r="C273" i="12"/>
  <c r="G274" i="12"/>
  <c r="D269" i="12"/>
  <c r="L269" i="12"/>
  <c r="D274" i="12"/>
  <c r="L274" i="12"/>
  <c r="I274" i="12"/>
  <c r="F269" i="12"/>
  <c r="J269" i="12"/>
  <c r="F274" i="12"/>
  <c r="J274" i="12"/>
  <c r="L247" i="12"/>
  <c r="F247" i="12"/>
  <c r="M247" i="12"/>
  <c r="D265" i="12"/>
  <c r="H265" i="12"/>
  <c r="L265" i="12"/>
  <c r="C260" i="12"/>
  <c r="C262" i="12"/>
  <c r="C264" i="12"/>
  <c r="K265" i="12"/>
  <c r="H247" i="12"/>
  <c r="N247" i="12"/>
  <c r="C252" i="12"/>
  <c r="N252" i="12" s="1"/>
  <c r="E265" i="12"/>
  <c r="I265" i="12"/>
  <c r="M265" i="12"/>
  <c r="C261" i="12"/>
  <c r="C263" i="12"/>
  <c r="G265" i="12"/>
  <c r="I247" i="12"/>
  <c r="G247" i="12"/>
  <c r="K247" i="12"/>
  <c r="C253" i="12"/>
  <c r="N253" i="12" s="1"/>
  <c r="F265" i="12"/>
  <c r="J265" i="12"/>
  <c r="C254" i="12"/>
  <c r="N254" i="12" s="1"/>
  <c r="C251" i="12"/>
  <c r="N251" i="12" s="1"/>
  <c r="C255" i="12"/>
  <c r="N255" i="12" s="1"/>
  <c r="G256" i="12"/>
  <c r="K256" i="12"/>
  <c r="D256" i="12"/>
  <c r="H256" i="12"/>
  <c r="L256" i="12"/>
  <c r="E256" i="12"/>
  <c r="I256" i="12"/>
  <c r="M256" i="12"/>
  <c r="F256" i="12"/>
  <c r="J256" i="12"/>
  <c r="E247" i="12"/>
  <c r="J247" i="12"/>
  <c r="D247" i="12"/>
  <c r="E223" i="12"/>
  <c r="E229" i="12" s="1"/>
  <c r="X42" i="5"/>
  <c r="I42" i="5" s="1"/>
  <c r="AB42" i="5"/>
  <c r="M42" i="5" s="1"/>
  <c r="T42" i="5"/>
  <c r="E42" i="5" s="1"/>
  <c r="X13" i="5"/>
  <c r="H13" i="5" s="1"/>
  <c r="O12" i="5"/>
  <c r="Z42" i="5"/>
  <c r="K42" i="5" s="1"/>
  <c r="I223" i="12"/>
  <c r="I229" i="12" s="1"/>
  <c r="W13" i="5"/>
  <c r="G13" i="5" s="1"/>
  <c r="F4" i="5"/>
  <c r="M223" i="12"/>
  <c r="M229" i="12" s="1"/>
  <c r="V13" i="5"/>
  <c r="F13" i="5" s="1"/>
  <c r="D41" i="5"/>
  <c r="AD42" i="5"/>
  <c r="O42" i="5" s="1"/>
  <c r="Z13" i="5"/>
  <c r="J13" i="5" s="1"/>
  <c r="N4" i="5"/>
  <c r="J223" i="12"/>
  <c r="J229" i="12" s="1"/>
  <c r="AD13" i="5"/>
  <c r="N13" i="5" s="1"/>
  <c r="G223" i="12"/>
  <c r="G229" i="12" s="1"/>
  <c r="K223" i="12"/>
  <c r="K229" i="12" s="1"/>
  <c r="C215" i="12"/>
  <c r="N215" i="12" s="1"/>
  <c r="M238" i="12"/>
  <c r="V42" i="5"/>
  <c r="G42" i="5" s="1"/>
  <c r="D223" i="12"/>
  <c r="H223" i="12"/>
  <c r="H229" i="12" s="1"/>
  <c r="L223" i="12"/>
  <c r="L229" i="12" s="1"/>
  <c r="C242" i="12"/>
  <c r="C243" i="12"/>
  <c r="D243" i="12" s="1"/>
  <c r="F229" i="12"/>
  <c r="N229" i="12"/>
  <c r="C234" i="12"/>
  <c r="M234" i="12" s="1"/>
  <c r="C235" i="12"/>
  <c r="M235" i="12" s="1"/>
  <c r="C236" i="12"/>
  <c r="M236" i="12" s="1"/>
  <c r="C233" i="12"/>
  <c r="M233" i="12" s="1"/>
  <c r="C237" i="12"/>
  <c r="M237" i="12" s="1"/>
  <c r="G238" i="12"/>
  <c r="K238" i="12"/>
  <c r="F238" i="12"/>
  <c r="J238" i="12"/>
  <c r="N238" i="12"/>
  <c r="D238" i="12"/>
  <c r="H238" i="12"/>
  <c r="L238" i="12"/>
  <c r="C245" i="12"/>
  <c r="G245" i="12" s="1"/>
  <c r="C246" i="12"/>
  <c r="G246" i="12" s="1"/>
  <c r="E238" i="12"/>
  <c r="I238" i="12"/>
  <c r="C216" i="12"/>
  <c r="C219" i="12"/>
  <c r="N219" i="12" s="1"/>
  <c r="C217" i="12"/>
  <c r="N217" i="12" s="1"/>
  <c r="C224" i="12"/>
  <c r="N224" i="12" s="1"/>
  <c r="C226" i="12"/>
  <c r="N226" i="12" s="1"/>
  <c r="C228" i="12"/>
  <c r="N228" i="12" s="1"/>
  <c r="C225" i="12"/>
  <c r="C227" i="12"/>
  <c r="L220" i="12"/>
  <c r="H220" i="12"/>
  <c r="D220" i="12"/>
  <c r="K220" i="12"/>
  <c r="G220" i="12"/>
  <c r="N220" i="12"/>
  <c r="J220" i="12"/>
  <c r="F220" i="12"/>
  <c r="M220" i="12"/>
  <c r="K219" i="12"/>
  <c r="T21" i="6"/>
  <c r="E13" i="6"/>
  <c r="F13" i="6" s="1"/>
  <c r="U13" i="6"/>
  <c r="V13" i="6" s="1"/>
  <c r="M13" i="6"/>
  <c r="N13" i="6" s="1"/>
  <c r="L21" i="6"/>
  <c r="N21" i="6" s="1"/>
  <c r="AE42" i="5"/>
  <c r="P42" i="5" s="1"/>
  <c r="AA42" i="5"/>
  <c r="L42" i="5" s="1"/>
  <c r="W42" i="5"/>
  <c r="H42" i="5" s="1"/>
  <c r="AC13" i="5"/>
  <c r="M13" i="5" s="1"/>
  <c r="Y13" i="5"/>
  <c r="I13" i="5" s="1"/>
  <c r="U13" i="5"/>
  <c r="E13" i="5" s="1"/>
  <c r="AL20" i="13" l="1"/>
  <c r="AM20" i="13" s="1"/>
  <c r="L433" i="12"/>
  <c r="G435" i="12"/>
  <c r="Q10" i="13"/>
  <c r="X10" i="13" s="1"/>
  <c r="Q20" i="13"/>
  <c r="X20" i="13" s="1"/>
  <c r="P20" i="13"/>
  <c r="W20" i="13" s="1"/>
  <c r="N20" i="13"/>
  <c r="U20" i="13" s="1"/>
  <c r="S20" i="13"/>
  <c r="Z20" i="13" s="1"/>
  <c r="AL8" i="13"/>
  <c r="AM8" i="13" s="1"/>
  <c r="AL16" i="13"/>
  <c r="AM16" i="13" s="1"/>
  <c r="AL10" i="13"/>
  <c r="AM10" i="13" s="1"/>
  <c r="P18" i="13"/>
  <c r="W18" i="13" s="1"/>
  <c r="Q18" i="13"/>
  <c r="X18" i="13" s="1"/>
  <c r="R18" i="13"/>
  <c r="Y18" i="13" s="1"/>
  <c r="O18" i="13"/>
  <c r="V18" i="13" s="1"/>
  <c r="Q14" i="13"/>
  <c r="X14" i="13" s="1"/>
  <c r="R14" i="13"/>
  <c r="Y14" i="13" s="1"/>
  <c r="AL6" i="13"/>
  <c r="AM6" i="13" s="1"/>
  <c r="L6" i="13" s="1"/>
  <c r="P10" i="13"/>
  <c r="W10" i="13" s="1"/>
  <c r="S10" i="13"/>
  <c r="Z10" i="13" s="1"/>
  <c r="R10" i="13"/>
  <c r="Y10" i="13" s="1"/>
  <c r="O14" i="13"/>
  <c r="V14" i="13" s="1"/>
  <c r="R20" i="13"/>
  <c r="Y20" i="13" s="1"/>
  <c r="N18" i="13"/>
  <c r="U18" i="13" s="1"/>
  <c r="S14" i="13"/>
  <c r="Z14" i="13" s="1"/>
  <c r="N14" i="13"/>
  <c r="U14" i="13" s="1"/>
  <c r="O10" i="13"/>
  <c r="V10" i="13" s="1"/>
  <c r="L12" i="13"/>
  <c r="R8" i="13"/>
  <c r="Y8" i="13" s="1"/>
  <c r="L16" i="13"/>
  <c r="O8" i="13"/>
  <c r="V8" i="13" s="1"/>
  <c r="P8" i="13"/>
  <c r="W8" i="13" s="1"/>
  <c r="S8" i="13"/>
  <c r="Z8" i="13" s="1"/>
  <c r="Q8" i="13"/>
  <c r="X8" i="13" s="1"/>
  <c r="K244" i="12"/>
  <c r="G244" i="12"/>
  <c r="E244" i="12"/>
  <c r="F244" i="12"/>
  <c r="F416" i="12"/>
  <c r="N69" i="12"/>
  <c r="J69" i="12"/>
  <c r="G196" i="12"/>
  <c r="I196" i="12"/>
  <c r="H244" i="12"/>
  <c r="H416" i="12"/>
  <c r="E434" i="12"/>
  <c r="H434" i="12"/>
  <c r="I433" i="12"/>
  <c r="H433" i="12"/>
  <c r="G433" i="12"/>
  <c r="I244" i="12"/>
  <c r="E433" i="12"/>
  <c r="K434" i="12"/>
  <c r="N434" i="12"/>
  <c r="F255" i="12"/>
  <c r="K416" i="12"/>
  <c r="N415" i="12"/>
  <c r="D416" i="12"/>
  <c r="D434" i="12"/>
  <c r="F434" i="12"/>
  <c r="G434" i="12"/>
  <c r="I416" i="12"/>
  <c r="G416" i="12"/>
  <c r="N416" i="12"/>
  <c r="H415" i="12"/>
  <c r="M434" i="12"/>
  <c r="E416" i="12"/>
  <c r="J416" i="12"/>
  <c r="L416" i="12"/>
  <c r="I434" i="12"/>
  <c r="N73" i="12"/>
  <c r="G73" i="12"/>
  <c r="D73" i="12"/>
  <c r="M73" i="12"/>
  <c r="E73" i="12"/>
  <c r="I73" i="12"/>
  <c r="K73" i="12"/>
  <c r="H73" i="12"/>
  <c r="F73" i="12"/>
  <c r="L73" i="12"/>
  <c r="J73" i="12"/>
  <c r="L244" i="12"/>
  <c r="D244" i="12"/>
  <c r="M436" i="12"/>
  <c r="F436" i="12"/>
  <c r="D254" i="12"/>
  <c r="M244" i="12"/>
  <c r="N244" i="12"/>
  <c r="F360" i="12"/>
  <c r="L196" i="12"/>
  <c r="M254" i="12"/>
  <c r="H254" i="12"/>
  <c r="D433" i="12"/>
  <c r="M433" i="12"/>
  <c r="D432" i="12"/>
  <c r="N433" i="12"/>
  <c r="N72" i="12"/>
  <c r="K72" i="12"/>
  <c r="D72" i="12"/>
  <c r="M72" i="12"/>
  <c r="F72" i="12"/>
  <c r="G72" i="12"/>
  <c r="I72" i="12"/>
  <c r="H72" i="12"/>
  <c r="J72" i="12"/>
  <c r="L72" i="12"/>
  <c r="E72" i="12"/>
  <c r="N71" i="12"/>
  <c r="D71" i="12"/>
  <c r="N198" i="12"/>
  <c r="G198" i="12"/>
  <c r="D198" i="12"/>
  <c r="F198" i="12"/>
  <c r="J253" i="12"/>
  <c r="I436" i="12"/>
  <c r="K436" i="12"/>
  <c r="J434" i="12"/>
  <c r="L70" i="12"/>
  <c r="K69" i="12"/>
  <c r="G141" i="12"/>
  <c r="F196" i="12"/>
  <c r="K369" i="12"/>
  <c r="E436" i="12"/>
  <c r="H436" i="12"/>
  <c r="N436" i="12"/>
  <c r="G436" i="12"/>
  <c r="E70" i="12"/>
  <c r="H69" i="12"/>
  <c r="J369" i="12"/>
  <c r="D436" i="12"/>
  <c r="J436" i="12"/>
  <c r="N432" i="12"/>
  <c r="F254" i="12"/>
  <c r="A209" i="12"/>
  <c r="A173" i="12"/>
  <c r="A200" i="12"/>
  <c r="A164" i="12"/>
  <c r="A191" i="12"/>
  <c r="A182" i="12"/>
  <c r="N199" i="12"/>
  <c r="M199" i="12"/>
  <c r="L199" i="12"/>
  <c r="F199" i="12"/>
  <c r="H199" i="12"/>
  <c r="I199" i="12"/>
  <c r="D199" i="12"/>
  <c r="J199" i="12"/>
  <c r="K199" i="12"/>
  <c r="E435" i="12"/>
  <c r="J198" i="12"/>
  <c r="K198" i="12"/>
  <c r="L198" i="12"/>
  <c r="N197" i="12"/>
  <c r="L197" i="12"/>
  <c r="E197" i="12"/>
  <c r="F197" i="12"/>
  <c r="I197" i="12"/>
  <c r="G197" i="12"/>
  <c r="H197" i="12"/>
  <c r="J197" i="12"/>
  <c r="M197" i="12"/>
  <c r="K197" i="12"/>
  <c r="M195" i="12"/>
  <c r="I195" i="12"/>
  <c r="J195" i="12"/>
  <c r="F433" i="12"/>
  <c r="J196" i="12"/>
  <c r="M196" i="12"/>
  <c r="H196" i="12"/>
  <c r="J433" i="12"/>
  <c r="D196" i="12"/>
  <c r="K196" i="12"/>
  <c r="E196" i="12"/>
  <c r="I198" i="12"/>
  <c r="E198" i="12"/>
  <c r="G199" i="12"/>
  <c r="M432" i="12"/>
  <c r="F432" i="12"/>
  <c r="I432" i="12"/>
  <c r="E432" i="12"/>
  <c r="H432" i="12"/>
  <c r="E360" i="12"/>
  <c r="J360" i="12"/>
  <c r="K360" i="12"/>
  <c r="M360" i="12"/>
  <c r="G255" i="12"/>
  <c r="L195" i="12"/>
  <c r="F195" i="12"/>
  <c r="G195" i="12"/>
  <c r="E195" i="12"/>
  <c r="D195" i="12"/>
  <c r="H195" i="12"/>
  <c r="D197" i="12"/>
  <c r="H141" i="12"/>
  <c r="L141" i="12"/>
  <c r="J71" i="12"/>
  <c r="M71" i="12"/>
  <c r="K71" i="12"/>
  <c r="F71" i="12"/>
  <c r="I71" i="12"/>
  <c r="L71" i="12"/>
  <c r="G71" i="12"/>
  <c r="E71" i="12"/>
  <c r="H71" i="12"/>
  <c r="V19" i="6"/>
  <c r="T22" i="6"/>
  <c r="D360" i="12"/>
  <c r="H253" i="12"/>
  <c r="I360" i="12"/>
  <c r="E199" i="12"/>
  <c r="H198" i="12"/>
  <c r="N195" i="12"/>
  <c r="K195" i="12"/>
  <c r="M198" i="12"/>
  <c r="N208" i="12"/>
  <c r="J208" i="12"/>
  <c r="F208" i="12"/>
  <c r="M208" i="12"/>
  <c r="I208" i="12"/>
  <c r="E208" i="12"/>
  <c r="L208" i="12"/>
  <c r="H208" i="12"/>
  <c r="D208" i="12"/>
  <c r="K208" i="12"/>
  <c r="G208" i="12"/>
  <c r="N207" i="12"/>
  <c r="J207" i="12"/>
  <c r="F207" i="12"/>
  <c r="M207" i="12"/>
  <c r="I207" i="12"/>
  <c r="E207" i="12"/>
  <c r="L207" i="12"/>
  <c r="H207" i="12"/>
  <c r="D207" i="12"/>
  <c r="K207" i="12"/>
  <c r="G207" i="12"/>
  <c r="N206" i="12"/>
  <c r="J206" i="12"/>
  <c r="F206" i="12"/>
  <c r="M206" i="12"/>
  <c r="I206" i="12"/>
  <c r="E206" i="12"/>
  <c r="G206" i="12"/>
  <c r="L206" i="12"/>
  <c r="H206" i="12"/>
  <c r="D206" i="12"/>
  <c r="K206" i="12"/>
  <c r="N205" i="12"/>
  <c r="J205" i="12"/>
  <c r="F205" i="12"/>
  <c r="M205" i="12"/>
  <c r="I205" i="12"/>
  <c r="E205" i="12"/>
  <c r="L205" i="12"/>
  <c r="H205" i="12"/>
  <c r="D205" i="12"/>
  <c r="K205" i="12"/>
  <c r="G205" i="12"/>
  <c r="N204" i="12"/>
  <c r="J204" i="12"/>
  <c r="F204" i="12"/>
  <c r="M204" i="12"/>
  <c r="I204" i="12"/>
  <c r="E204" i="12"/>
  <c r="G204" i="12"/>
  <c r="L204" i="12"/>
  <c r="H204" i="12"/>
  <c r="D204" i="12"/>
  <c r="K204" i="12"/>
  <c r="N186" i="12"/>
  <c r="J186" i="12"/>
  <c r="F186" i="12"/>
  <c r="M186" i="12"/>
  <c r="I186" i="12"/>
  <c r="E186" i="12"/>
  <c r="K186" i="12"/>
  <c r="L186" i="12"/>
  <c r="H186" i="12"/>
  <c r="D186" i="12"/>
  <c r="G186" i="12"/>
  <c r="N189" i="12"/>
  <c r="J189" i="12"/>
  <c r="F189" i="12"/>
  <c r="M189" i="12"/>
  <c r="I189" i="12"/>
  <c r="E189" i="12"/>
  <c r="G189" i="12"/>
  <c r="L189" i="12"/>
  <c r="H189" i="12"/>
  <c r="D189" i="12"/>
  <c r="K189" i="12"/>
  <c r="N188" i="12"/>
  <c r="J188" i="12"/>
  <c r="F188" i="12"/>
  <c r="M188" i="12"/>
  <c r="I188" i="12"/>
  <c r="E188" i="12"/>
  <c r="K188" i="12"/>
  <c r="L188" i="12"/>
  <c r="H188" i="12"/>
  <c r="D188" i="12"/>
  <c r="G188" i="12"/>
  <c r="N190" i="12"/>
  <c r="J190" i="12"/>
  <c r="F190" i="12"/>
  <c r="M190" i="12"/>
  <c r="I190" i="12"/>
  <c r="E190" i="12"/>
  <c r="G190" i="12"/>
  <c r="L190" i="12"/>
  <c r="H190" i="12"/>
  <c r="D190" i="12"/>
  <c r="K190" i="12"/>
  <c r="N187" i="12"/>
  <c r="J187" i="12"/>
  <c r="F187" i="12"/>
  <c r="M187" i="12"/>
  <c r="I187" i="12"/>
  <c r="E187" i="12"/>
  <c r="G187" i="12"/>
  <c r="L187" i="12"/>
  <c r="H187" i="12"/>
  <c r="D187" i="12"/>
  <c r="K187" i="12"/>
  <c r="N179" i="12"/>
  <c r="J179" i="12"/>
  <c r="F179" i="12"/>
  <c r="M179" i="12"/>
  <c r="I179" i="12"/>
  <c r="E179" i="12"/>
  <c r="G179" i="12"/>
  <c r="L179" i="12"/>
  <c r="H179" i="12"/>
  <c r="D179" i="12"/>
  <c r="K179" i="12"/>
  <c r="N177" i="12"/>
  <c r="J177" i="12"/>
  <c r="F177" i="12"/>
  <c r="M177" i="12"/>
  <c r="I177" i="12"/>
  <c r="E177" i="12"/>
  <c r="K177" i="12"/>
  <c r="L177" i="12"/>
  <c r="H177" i="12"/>
  <c r="D177" i="12"/>
  <c r="G177" i="12"/>
  <c r="N180" i="12"/>
  <c r="J180" i="12"/>
  <c r="F180" i="12"/>
  <c r="M180" i="12"/>
  <c r="I180" i="12"/>
  <c r="E180" i="12"/>
  <c r="G180" i="12"/>
  <c r="L180" i="12"/>
  <c r="H180" i="12"/>
  <c r="D180" i="12"/>
  <c r="K180" i="12"/>
  <c r="N181" i="12"/>
  <c r="J181" i="12"/>
  <c r="F181" i="12"/>
  <c r="M181" i="12"/>
  <c r="I181" i="12"/>
  <c r="E181" i="12"/>
  <c r="K181" i="12"/>
  <c r="G181" i="12"/>
  <c r="L181" i="12"/>
  <c r="H181" i="12"/>
  <c r="D181" i="12"/>
  <c r="N178" i="12"/>
  <c r="J178" i="12"/>
  <c r="F178" i="12"/>
  <c r="M178" i="12"/>
  <c r="I178" i="12"/>
  <c r="E178" i="12"/>
  <c r="G178" i="12"/>
  <c r="L178" i="12"/>
  <c r="H178" i="12"/>
  <c r="D178" i="12"/>
  <c r="K178" i="12"/>
  <c r="N168" i="12"/>
  <c r="J168" i="12"/>
  <c r="F168" i="12"/>
  <c r="M168" i="12"/>
  <c r="I168" i="12"/>
  <c r="E168" i="12"/>
  <c r="K168" i="12"/>
  <c r="L168" i="12"/>
  <c r="H168" i="12"/>
  <c r="D168" i="12"/>
  <c r="G168" i="12"/>
  <c r="N171" i="12"/>
  <c r="J171" i="12"/>
  <c r="F171" i="12"/>
  <c r="M171" i="12"/>
  <c r="I171" i="12"/>
  <c r="E171" i="12"/>
  <c r="G171" i="12"/>
  <c r="L171" i="12"/>
  <c r="H171" i="12"/>
  <c r="D171" i="12"/>
  <c r="K171" i="12"/>
  <c r="N170" i="12"/>
  <c r="J170" i="12"/>
  <c r="F170" i="12"/>
  <c r="M170" i="12"/>
  <c r="I170" i="12"/>
  <c r="E170" i="12"/>
  <c r="K170" i="12"/>
  <c r="L170" i="12"/>
  <c r="H170" i="12"/>
  <c r="D170" i="12"/>
  <c r="G170" i="12"/>
  <c r="N172" i="12"/>
  <c r="J172" i="12"/>
  <c r="F172" i="12"/>
  <c r="M172" i="12"/>
  <c r="I172" i="12"/>
  <c r="E172" i="12"/>
  <c r="G172" i="12"/>
  <c r="L172" i="12"/>
  <c r="H172" i="12"/>
  <c r="D172" i="12"/>
  <c r="K172" i="12"/>
  <c r="N169" i="12"/>
  <c r="J169" i="12"/>
  <c r="F169" i="12"/>
  <c r="M169" i="12"/>
  <c r="I169" i="12"/>
  <c r="E169" i="12"/>
  <c r="G169" i="12"/>
  <c r="L169" i="12"/>
  <c r="H169" i="12"/>
  <c r="D169" i="12"/>
  <c r="K169" i="12"/>
  <c r="N161" i="12"/>
  <c r="J161" i="12"/>
  <c r="F161" i="12"/>
  <c r="L161" i="12"/>
  <c r="H161" i="12"/>
  <c r="K161" i="12"/>
  <c r="G161" i="12"/>
  <c r="M161" i="12"/>
  <c r="I161" i="12"/>
  <c r="E161" i="12"/>
  <c r="D161" i="12"/>
  <c r="N163" i="12"/>
  <c r="J163" i="12"/>
  <c r="F163" i="12"/>
  <c r="H163" i="12"/>
  <c r="K163" i="12"/>
  <c r="G163" i="12"/>
  <c r="M163" i="12"/>
  <c r="I163" i="12"/>
  <c r="E163" i="12"/>
  <c r="L163" i="12"/>
  <c r="D163" i="12"/>
  <c r="N159" i="12"/>
  <c r="J159" i="12"/>
  <c r="F159" i="12"/>
  <c r="L159" i="12"/>
  <c r="K159" i="12"/>
  <c r="G159" i="12"/>
  <c r="M159" i="12"/>
  <c r="I159" i="12"/>
  <c r="E159" i="12"/>
  <c r="H159" i="12"/>
  <c r="D159" i="12"/>
  <c r="N160" i="12"/>
  <c r="J160" i="12"/>
  <c r="F160" i="12"/>
  <c r="H160" i="12"/>
  <c r="K160" i="12"/>
  <c r="G160" i="12"/>
  <c r="M160" i="12"/>
  <c r="I160" i="12"/>
  <c r="E160" i="12"/>
  <c r="L160" i="12"/>
  <c r="D160" i="12"/>
  <c r="N162" i="12"/>
  <c r="J162" i="12"/>
  <c r="F162" i="12"/>
  <c r="L162" i="12"/>
  <c r="D162" i="12"/>
  <c r="K162" i="12"/>
  <c r="G162" i="12"/>
  <c r="M162" i="12"/>
  <c r="I162" i="12"/>
  <c r="E162" i="12"/>
  <c r="H162" i="12"/>
  <c r="J141" i="12"/>
  <c r="M141" i="12"/>
  <c r="D351" i="12"/>
  <c r="I254" i="12"/>
  <c r="F351" i="12"/>
  <c r="I415" i="12"/>
  <c r="J415" i="12"/>
  <c r="D415" i="12"/>
  <c r="K415" i="12"/>
  <c r="H435" i="12"/>
  <c r="N435" i="12"/>
  <c r="K432" i="12"/>
  <c r="J435" i="12"/>
  <c r="J432" i="12"/>
  <c r="M415" i="12"/>
  <c r="F69" i="12"/>
  <c r="M69" i="12"/>
  <c r="H70" i="12"/>
  <c r="D69" i="12"/>
  <c r="G69" i="12"/>
  <c r="J153" i="12"/>
  <c r="F153" i="12"/>
  <c r="K153" i="12"/>
  <c r="I153" i="12"/>
  <c r="E153" i="12"/>
  <c r="H153" i="12"/>
  <c r="D153" i="12"/>
  <c r="G153" i="12"/>
  <c r="J152" i="12"/>
  <c r="F152" i="12"/>
  <c r="K152" i="12"/>
  <c r="I152" i="12"/>
  <c r="E152" i="12"/>
  <c r="H152" i="12"/>
  <c r="D152" i="12"/>
  <c r="G152" i="12"/>
  <c r="J154" i="12"/>
  <c r="F154" i="12"/>
  <c r="G154" i="12"/>
  <c r="I154" i="12"/>
  <c r="E154" i="12"/>
  <c r="H154" i="12"/>
  <c r="D154" i="12"/>
  <c r="K154" i="12"/>
  <c r="J254" i="12"/>
  <c r="E254" i="12"/>
  <c r="L254" i="12"/>
  <c r="I369" i="12"/>
  <c r="E415" i="12"/>
  <c r="F415" i="12"/>
  <c r="G415" i="12"/>
  <c r="M435" i="12"/>
  <c r="D435" i="12"/>
  <c r="F435" i="12"/>
  <c r="G432" i="12"/>
  <c r="J70" i="12"/>
  <c r="M70" i="12"/>
  <c r="I69" i="12"/>
  <c r="D70" i="12"/>
  <c r="K70" i="12"/>
  <c r="I141" i="12"/>
  <c r="J151" i="12"/>
  <c r="F151" i="12"/>
  <c r="K151" i="12"/>
  <c r="I151" i="12"/>
  <c r="E151" i="12"/>
  <c r="H151" i="12"/>
  <c r="D151" i="12"/>
  <c r="G151" i="12"/>
  <c r="I351" i="12"/>
  <c r="I435" i="12"/>
  <c r="K435" i="12"/>
  <c r="F70" i="12"/>
  <c r="I70" i="12"/>
  <c r="E69" i="12"/>
  <c r="L69" i="12"/>
  <c r="G70" i="12"/>
  <c r="F141" i="12"/>
  <c r="D141" i="12"/>
  <c r="E141" i="12"/>
  <c r="K141" i="12"/>
  <c r="J150" i="12"/>
  <c r="F150" i="12"/>
  <c r="G150" i="12"/>
  <c r="I150" i="12"/>
  <c r="E150" i="12"/>
  <c r="H150" i="12"/>
  <c r="D150" i="12"/>
  <c r="K150" i="12"/>
  <c r="N143" i="12"/>
  <c r="J143" i="12"/>
  <c r="F143" i="12"/>
  <c r="H143" i="12"/>
  <c r="D143" i="12"/>
  <c r="M143" i="12"/>
  <c r="I143" i="12"/>
  <c r="E143" i="12"/>
  <c r="L143" i="12"/>
  <c r="K143" i="12"/>
  <c r="G143" i="12"/>
  <c r="N144" i="12"/>
  <c r="J144" i="12"/>
  <c r="F144" i="12"/>
  <c r="L144" i="12"/>
  <c r="D144" i="12"/>
  <c r="M144" i="12"/>
  <c r="I144" i="12"/>
  <c r="E144" i="12"/>
  <c r="H144" i="12"/>
  <c r="K144" i="12"/>
  <c r="G144" i="12"/>
  <c r="N142" i="12"/>
  <c r="J142" i="12"/>
  <c r="F142" i="12"/>
  <c r="H142" i="12"/>
  <c r="M142" i="12"/>
  <c r="I142" i="12"/>
  <c r="E142" i="12"/>
  <c r="L142" i="12"/>
  <c r="D142" i="12"/>
  <c r="K142" i="12"/>
  <c r="G142" i="12"/>
  <c r="N145" i="12"/>
  <c r="J145" i="12"/>
  <c r="F145" i="12"/>
  <c r="L145" i="12"/>
  <c r="H145" i="12"/>
  <c r="D145" i="12"/>
  <c r="M145" i="12"/>
  <c r="I145" i="12"/>
  <c r="E145" i="12"/>
  <c r="K145" i="12"/>
  <c r="G145" i="12"/>
  <c r="N134" i="12"/>
  <c r="J134" i="12"/>
  <c r="F134" i="12"/>
  <c r="M134" i="12"/>
  <c r="I134" i="12"/>
  <c r="E134" i="12"/>
  <c r="K134" i="12"/>
  <c r="L134" i="12"/>
  <c r="H134" i="12"/>
  <c r="D134" i="12"/>
  <c r="G134" i="12"/>
  <c r="N133" i="12"/>
  <c r="J133" i="12"/>
  <c r="F133" i="12"/>
  <c r="M133" i="12"/>
  <c r="I133" i="12"/>
  <c r="E133" i="12"/>
  <c r="L133" i="12"/>
  <c r="H133" i="12"/>
  <c r="D133" i="12"/>
  <c r="K133" i="12"/>
  <c r="G133" i="12"/>
  <c r="N135" i="12"/>
  <c r="J135" i="12"/>
  <c r="F135" i="12"/>
  <c r="M135" i="12"/>
  <c r="I135" i="12"/>
  <c r="E135" i="12"/>
  <c r="G135" i="12"/>
  <c r="L135" i="12"/>
  <c r="H135" i="12"/>
  <c r="D135" i="12"/>
  <c r="K135" i="12"/>
  <c r="N136" i="12"/>
  <c r="J136" i="12"/>
  <c r="F136" i="12"/>
  <c r="M136" i="12"/>
  <c r="I136" i="12"/>
  <c r="E136" i="12"/>
  <c r="G136" i="12"/>
  <c r="L136" i="12"/>
  <c r="H136" i="12"/>
  <c r="D136" i="12"/>
  <c r="K136" i="12"/>
  <c r="N132" i="12"/>
  <c r="J132" i="12"/>
  <c r="F132" i="12"/>
  <c r="M132" i="12"/>
  <c r="I132" i="12"/>
  <c r="E132" i="12"/>
  <c r="G132" i="12"/>
  <c r="L132" i="12"/>
  <c r="H132" i="12"/>
  <c r="D132" i="12"/>
  <c r="K132" i="12"/>
  <c r="N127" i="12"/>
  <c r="J127" i="12"/>
  <c r="F127" i="12"/>
  <c r="G127" i="12"/>
  <c r="M127" i="12"/>
  <c r="I127" i="12"/>
  <c r="E127" i="12"/>
  <c r="K127" i="12"/>
  <c r="L127" i="12"/>
  <c r="H127" i="12"/>
  <c r="D127" i="12"/>
  <c r="N124" i="12"/>
  <c r="J124" i="12"/>
  <c r="F124" i="12"/>
  <c r="K124" i="12"/>
  <c r="M124" i="12"/>
  <c r="I124" i="12"/>
  <c r="E124" i="12"/>
  <c r="G124" i="12"/>
  <c r="L124" i="12"/>
  <c r="H124" i="12"/>
  <c r="D124" i="12"/>
  <c r="N125" i="12"/>
  <c r="J125" i="12"/>
  <c r="F125" i="12"/>
  <c r="K125" i="12"/>
  <c r="M125" i="12"/>
  <c r="I125" i="12"/>
  <c r="E125" i="12"/>
  <c r="G125" i="12"/>
  <c r="L125" i="12"/>
  <c r="H125" i="12"/>
  <c r="D125" i="12"/>
  <c r="N123" i="12"/>
  <c r="J123" i="12"/>
  <c r="F123" i="12"/>
  <c r="M123" i="12"/>
  <c r="I123" i="12"/>
  <c r="E123" i="12"/>
  <c r="K123" i="12"/>
  <c r="G123" i="12"/>
  <c r="L123" i="12"/>
  <c r="H123" i="12"/>
  <c r="D123" i="12"/>
  <c r="N126" i="12"/>
  <c r="J126" i="12"/>
  <c r="F126" i="12"/>
  <c r="G126" i="12"/>
  <c r="M126" i="12"/>
  <c r="I126" i="12"/>
  <c r="E126" i="12"/>
  <c r="K126" i="12"/>
  <c r="L126" i="12"/>
  <c r="H126" i="12"/>
  <c r="D126" i="12"/>
  <c r="N115" i="12"/>
  <c r="J115" i="12"/>
  <c r="F115" i="12"/>
  <c r="M115" i="12"/>
  <c r="I115" i="12"/>
  <c r="E115" i="12"/>
  <c r="L115" i="12"/>
  <c r="H115" i="12"/>
  <c r="D115" i="12"/>
  <c r="K115" i="12"/>
  <c r="G115" i="12"/>
  <c r="N118" i="12"/>
  <c r="J118" i="12"/>
  <c r="F118" i="12"/>
  <c r="M118" i="12"/>
  <c r="I118" i="12"/>
  <c r="E118" i="12"/>
  <c r="L118" i="12"/>
  <c r="H118" i="12"/>
  <c r="D118" i="12"/>
  <c r="K118" i="12"/>
  <c r="G118" i="12"/>
  <c r="N116" i="12"/>
  <c r="J116" i="12"/>
  <c r="F116" i="12"/>
  <c r="M116" i="12"/>
  <c r="I116" i="12"/>
  <c r="E116" i="12"/>
  <c r="L116" i="12"/>
  <c r="H116" i="12"/>
  <c r="D116" i="12"/>
  <c r="K116" i="12"/>
  <c r="G116" i="12"/>
  <c r="N117" i="12"/>
  <c r="J117" i="12"/>
  <c r="F117" i="12"/>
  <c r="M117" i="12"/>
  <c r="I117" i="12"/>
  <c r="E117" i="12"/>
  <c r="L117" i="12"/>
  <c r="H117" i="12"/>
  <c r="D117" i="12"/>
  <c r="K117" i="12"/>
  <c r="G117" i="12"/>
  <c r="N114" i="12"/>
  <c r="J114" i="12"/>
  <c r="F114" i="12"/>
  <c r="M114" i="12"/>
  <c r="I114" i="12"/>
  <c r="E114" i="12"/>
  <c r="G114" i="12"/>
  <c r="L114" i="12"/>
  <c r="H114" i="12"/>
  <c r="D114" i="12"/>
  <c r="K114" i="12"/>
  <c r="N107" i="12"/>
  <c r="J107" i="12"/>
  <c r="F107" i="12"/>
  <c r="M107" i="12"/>
  <c r="I107" i="12"/>
  <c r="E107" i="12"/>
  <c r="K107" i="12"/>
  <c r="L107" i="12"/>
  <c r="H107" i="12"/>
  <c r="D107" i="12"/>
  <c r="G107" i="12"/>
  <c r="N105" i="12"/>
  <c r="J105" i="12"/>
  <c r="F105" i="12"/>
  <c r="M105" i="12"/>
  <c r="I105" i="12"/>
  <c r="E105" i="12"/>
  <c r="K105" i="12"/>
  <c r="L105" i="12"/>
  <c r="H105" i="12"/>
  <c r="D105" i="12"/>
  <c r="G105" i="12"/>
  <c r="N108" i="12"/>
  <c r="J108" i="12"/>
  <c r="F108" i="12"/>
  <c r="M108" i="12"/>
  <c r="I108" i="12"/>
  <c r="E108" i="12"/>
  <c r="G108" i="12"/>
  <c r="L108" i="12"/>
  <c r="H108" i="12"/>
  <c r="D108" i="12"/>
  <c r="K108" i="12"/>
  <c r="N109" i="12"/>
  <c r="J109" i="12"/>
  <c r="F109" i="12"/>
  <c r="M109" i="12"/>
  <c r="I109" i="12"/>
  <c r="E109" i="12"/>
  <c r="G109" i="12"/>
  <c r="L109" i="12"/>
  <c r="H109" i="12"/>
  <c r="D109" i="12"/>
  <c r="K109" i="12"/>
  <c r="N106" i="12"/>
  <c r="J106" i="12"/>
  <c r="F106" i="12"/>
  <c r="M106" i="12"/>
  <c r="I106" i="12"/>
  <c r="E106" i="12"/>
  <c r="G106" i="12"/>
  <c r="L106" i="12"/>
  <c r="H106" i="12"/>
  <c r="D106" i="12"/>
  <c r="K106" i="12"/>
  <c r="N99" i="12"/>
  <c r="J99" i="12"/>
  <c r="F99" i="12"/>
  <c r="M99" i="12"/>
  <c r="I99" i="12"/>
  <c r="E99" i="12"/>
  <c r="K99" i="12"/>
  <c r="G99" i="12"/>
  <c r="L99" i="12"/>
  <c r="H99" i="12"/>
  <c r="D99" i="12"/>
  <c r="N98" i="12"/>
  <c r="J98" i="12"/>
  <c r="F98" i="12"/>
  <c r="M98" i="12"/>
  <c r="I98" i="12"/>
  <c r="E98" i="12"/>
  <c r="K98" i="12"/>
  <c r="G98" i="12"/>
  <c r="L98" i="12"/>
  <c r="H98" i="12"/>
  <c r="D98" i="12"/>
  <c r="N97" i="12"/>
  <c r="J97" i="12"/>
  <c r="F97" i="12"/>
  <c r="M97" i="12"/>
  <c r="I97" i="12"/>
  <c r="E97" i="12"/>
  <c r="K97" i="12"/>
  <c r="L97" i="12"/>
  <c r="H97" i="12"/>
  <c r="D97" i="12"/>
  <c r="G97" i="12"/>
  <c r="N100" i="12"/>
  <c r="J100" i="12"/>
  <c r="F100" i="12"/>
  <c r="M100" i="12"/>
  <c r="I100" i="12"/>
  <c r="E100" i="12"/>
  <c r="K100" i="12"/>
  <c r="G100" i="12"/>
  <c r="L100" i="12"/>
  <c r="H100" i="12"/>
  <c r="D100" i="12"/>
  <c r="N96" i="12"/>
  <c r="J96" i="12"/>
  <c r="F96" i="12"/>
  <c r="M96" i="12"/>
  <c r="I96" i="12"/>
  <c r="E96" i="12"/>
  <c r="G96" i="12"/>
  <c r="L96" i="12"/>
  <c r="H96" i="12"/>
  <c r="D96" i="12"/>
  <c r="K96" i="12"/>
  <c r="N88" i="12"/>
  <c r="J88" i="12"/>
  <c r="F88" i="12"/>
  <c r="M88" i="12"/>
  <c r="I88" i="12"/>
  <c r="E88" i="12"/>
  <c r="K88" i="12"/>
  <c r="L88" i="12"/>
  <c r="H88" i="12"/>
  <c r="D88" i="12"/>
  <c r="G88" i="12"/>
  <c r="N90" i="12"/>
  <c r="J90" i="12"/>
  <c r="F90" i="12"/>
  <c r="M90" i="12"/>
  <c r="I90" i="12"/>
  <c r="E90" i="12"/>
  <c r="K90" i="12"/>
  <c r="G90" i="12"/>
  <c r="L90" i="12"/>
  <c r="H90" i="12"/>
  <c r="D90" i="12"/>
  <c r="N89" i="12"/>
  <c r="J89" i="12"/>
  <c r="F89" i="12"/>
  <c r="M89" i="12"/>
  <c r="I89" i="12"/>
  <c r="E89" i="12"/>
  <c r="K89" i="12"/>
  <c r="G89" i="12"/>
  <c r="L89" i="12"/>
  <c r="H89" i="12"/>
  <c r="D89" i="12"/>
  <c r="N91" i="12"/>
  <c r="J91" i="12"/>
  <c r="F91" i="12"/>
  <c r="M91" i="12"/>
  <c r="I91" i="12"/>
  <c r="E91" i="12"/>
  <c r="K91" i="12"/>
  <c r="G91" i="12"/>
  <c r="L91" i="12"/>
  <c r="H91" i="12"/>
  <c r="D91" i="12"/>
  <c r="N87" i="12"/>
  <c r="J87" i="12"/>
  <c r="F87" i="12"/>
  <c r="M87" i="12"/>
  <c r="I87" i="12"/>
  <c r="E87" i="12"/>
  <c r="G87" i="12"/>
  <c r="L87" i="12"/>
  <c r="H87" i="12"/>
  <c r="D87" i="12"/>
  <c r="K87" i="12"/>
  <c r="N79" i="12"/>
  <c r="J79" i="12"/>
  <c r="F79" i="12"/>
  <c r="M79" i="12"/>
  <c r="I79" i="12"/>
  <c r="E79" i="12"/>
  <c r="L79" i="12"/>
  <c r="H79" i="12"/>
  <c r="D79" i="12"/>
  <c r="K79" i="12"/>
  <c r="G79" i="12"/>
  <c r="N80" i="12"/>
  <c r="J80" i="12"/>
  <c r="F80" i="12"/>
  <c r="M80" i="12"/>
  <c r="I80" i="12"/>
  <c r="E80" i="12"/>
  <c r="L80" i="12"/>
  <c r="H80" i="12"/>
  <c r="D80" i="12"/>
  <c r="K80" i="12"/>
  <c r="G80" i="12"/>
  <c r="N82" i="12"/>
  <c r="J82" i="12"/>
  <c r="F82" i="12"/>
  <c r="M82" i="12"/>
  <c r="I82" i="12"/>
  <c r="E82" i="12"/>
  <c r="L82" i="12"/>
  <c r="H82" i="12"/>
  <c r="D82" i="12"/>
  <c r="K82" i="12"/>
  <c r="G82" i="12"/>
  <c r="N81" i="12"/>
  <c r="J81" i="12"/>
  <c r="F81" i="12"/>
  <c r="M81" i="12"/>
  <c r="I81" i="12"/>
  <c r="E81" i="12"/>
  <c r="L81" i="12"/>
  <c r="H81" i="12"/>
  <c r="D81" i="12"/>
  <c r="K81" i="12"/>
  <c r="G81" i="12"/>
  <c r="N78" i="12"/>
  <c r="J78" i="12"/>
  <c r="F78" i="12"/>
  <c r="M78" i="12"/>
  <c r="I78" i="12"/>
  <c r="E78" i="12"/>
  <c r="G78" i="12"/>
  <c r="L78" i="12"/>
  <c r="H78" i="12"/>
  <c r="D78" i="12"/>
  <c r="K78" i="12"/>
  <c r="N64" i="12"/>
  <c r="J64" i="12"/>
  <c r="F64" i="12"/>
  <c r="H64" i="12"/>
  <c r="D64" i="12"/>
  <c r="K64" i="12"/>
  <c r="G64" i="12"/>
  <c r="M64" i="12"/>
  <c r="I64" i="12"/>
  <c r="E64" i="12"/>
  <c r="L64" i="12"/>
  <c r="N60" i="12"/>
  <c r="J60" i="12"/>
  <c r="F60" i="12"/>
  <c r="L60" i="12"/>
  <c r="H60" i="12"/>
  <c r="K60" i="12"/>
  <c r="G60" i="12"/>
  <c r="M60" i="12"/>
  <c r="I60" i="12"/>
  <c r="E60" i="12"/>
  <c r="D60" i="12"/>
  <c r="N62" i="12"/>
  <c r="J62" i="12"/>
  <c r="F62" i="12"/>
  <c r="H62" i="12"/>
  <c r="K62" i="12"/>
  <c r="G62" i="12"/>
  <c r="M62" i="12"/>
  <c r="I62" i="12"/>
  <c r="E62" i="12"/>
  <c r="L62" i="12"/>
  <c r="D62" i="12"/>
  <c r="N61" i="12"/>
  <c r="J61" i="12"/>
  <c r="F61" i="12"/>
  <c r="L61" i="12"/>
  <c r="D61" i="12"/>
  <c r="K61" i="12"/>
  <c r="G61" i="12"/>
  <c r="M61" i="12"/>
  <c r="I61" i="12"/>
  <c r="E61" i="12"/>
  <c r="H61" i="12"/>
  <c r="N63" i="12"/>
  <c r="J63" i="12"/>
  <c r="F63" i="12"/>
  <c r="D63" i="12"/>
  <c r="K63" i="12"/>
  <c r="G63" i="12"/>
  <c r="M63" i="12"/>
  <c r="I63" i="12"/>
  <c r="E63" i="12"/>
  <c r="L63" i="12"/>
  <c r="H63" i="12"/>
  <c r="N55" i="12"/>
  <c r="J55" i="12"/>
  <c r="F55" i="12"/>
  <c r="K55" i="12"/>
  <c r="G55" i="12"/>
  <c r="M55" i="12"/>
  <c r="I55" i="12"/>
  <c r="E55" i="12"/>
  <c r="L55" i="12"/>
  <c r="H55" i="12"/>
  <c r="D55" i="12"/>
  <c r="N54" i="12"/>
  <c r="J54" i="12"/>
  <c r="F54" i="12"/>
  <c r="K54" i="12"/>
  <c r="M54" i="12"/>
  <c r="I54" i="12"/>
  <c r="E54" i="12"/>
  <c r="L54" i="12"/>
  <c r="H54" i="12"/>
  <c r="D54" i="12"/>
  <c r="G54" i="12"/>
  <c r="N51" i="12"/>
  <c r="J51" i="12"/>
  <c r="F51" i="12"/>
  <c r="K51" i="12"/>
  <c r="M51" i="12"/>
  <c r="I51" i="12"/>
  <c r="E51" i="12"/>
  <c r="L51" i="12"/>
  <c r="H51" i="12"/>
  <c r="D51" i="12"/>
  <c r="G51" i="12"/>
  <c r="N53" i="12"/>
  <c r="J53" i="12"/>
  <c r="F53" i="12"/>
  <c r="K53" i="12"/>
  <c r="M53" i="12"/>
  <c r="I53" i="12"/>
  <c r="E53" i="12"/>
  <c r="L53" i="12"/>
  <c r="H53" i="12"/>
  <c r="D53" i="12"/>
  <c r="G53" i="12"/>
  <c r="N52" i="12"/>
  <c r="J52" i="12"/>
  <c r="F52" i="12"/>
  <c r="K52" i="12"/>
  <c r="M52" i="12"/>
  <c r="I52" i="12"/>
  <c r="E52" i="12"/>
  <c r="L52" i="12"/>
  <c r="H52" i="12"/>
  <c r="D52" i="12"/>
  <c r="G52" i="12"/>
  <c r="N44" i="12"/>
  <c r="J44" i="12"/>
  <c r="F44" i="12"/>
  <c r="M44" i="12"/>
  <c r="I44" i="12"/>
  <c r="E44" i="12"/>
  <c r="G44" i="12"/>
  <c r="L44" i="12"/>
  <c r="H44" i="12"/>
  <c r="D44" i="12"/>
  <c r="K44" i="12"/>
  <c r="N45" i="12"/>
  <c r="J45" i="12"/>
  <c r="F45" i="12"/>
  <c r="M45" i="12"/>
  <c r="I45" i="12"/>
  <c r="E45" i="12"/>
  <c r="K45" i="12"/>
  <c r="G45" i="12"/>
  <c r="L45" i="12"/>
  <c r="H45" i="12"/>
  <c r="D45" i="12"/>
  <c r="N43" i="12"/>
  <c r="J43" i="12"/>
  <c r="F43" i="12"/>
  <c r="M43" i="12"/>
  <c r="I43" i="12"/>
  <c r="E43" i="12"/>
  <c r="G43" i="12"/>
  <c r="L43" i="12"/>
  <c r="H43" i="12"/>
  <c r="D43" i="12"/>
  <c r="K43" i="12"/>
  <c r="N46" i="12"/>
  <c r="J46" i="12"/>
  <c r="F46" i="12"/>
  <c r="M46" i="12"/>
  <c r="I46" i="12"/>
  <c r="E46" i="12"/>
  <c r="K46" i="12"/>
  <c r="G46" i="12"/>
  <c r="L46" i="12"/>
  <c r="H46" i="12"/>
  <c r="D46" i="12"/>
  <c r="N42" i="12"/>
  <c r="J42" i="12"/>
  <c r="F42" i="12"/>
  <c r="M42" i="12"/>
  <c r="I42" i="12"/>
  <c r="E42" i="12"/>
  <c r="G42" i="12"/>
  <c r="L42" i="12"/>
  <c r="H42" i="12"/>
  <c r="D42" i="12"/>
  <c r="K42" i="12"/>
  <c r="N37" i="12"/>
  <c r="J37" i="12"/>
  <c r="F37" i="12"/>
  <c r="M37" i="12"/>
  <c r="I37" i="12"/>
  <c r="E37" i="12"/>
  <c r="G37" i="12"/>
  <c r="L37" i="12"/>
  <c r="H37" i="12"/>
  <c r="D37" i="12"/>
  <c r="K37" i="12"/>
  <c r="N33" i="12"/>
  <c r="J33" i="12"/>
  <c r="F33" i="12"/>
  <c r="M33" i="12"/>
  <c r="I33" i="12"/>
  <c r="E33" i="12"/>
  <c r="K33" i="12"/>
  <c r="L33" i="12"/>
  <c r="H33" i="12"/>
  <c r="D33" i="12"/>
  <c r="G33" i="12"/>
  <c r="N36" i="12"/>
  <c r="J36" i="12"/>
  <c r="F36" i="12"/>
  <c r="M36" i="12"/>
  <c r="I36" i="12"/>
  <c r="E36" i="12"/>
  <c r="K36" i="12"/>
  <c r="G36" i="12"/>
  <c r="L36" i="12"/>
  <c r="H36" i="12"/>
  <c r="D36" i="12"/>
  <c r="N35" i="12"/>
  <c r="J35" i="12"/>
  <c r="F35" i="12"/>
  <c r="M35" i="12"/>
  <c r="I35" i="12"/>
  <c r="E35" i="12"/>
  <c r="K35" i="12"/>
  <c r="L35" i="12"/>
  <c r="H35" i="12"/>
  <c r="D35" i="12"/>
  <c r="G35" i="12"/>
  <c r="N34" i="12"/>
  <c r="J34" i="12"/>
  <c r="F34" i="12"/>
  <c r="M34" i="12"/>
  <c r="I34" i="12"/>
  <c r="E34" i="12"/>
  <c r="G34" i="12"/>
  <c r="L34" i="12"/>
  <c r="H34" i="12"/>
  <c r="D34" i="12"/>
  <c r="K34" i="12"/>
  <c r="N27" i="12"/>
  <c r="J27" i="12"/>
  <c r="F27" i="12"/>
  <c r="M27" i="12"/>
  <c r="I27" i="12"/>
  <c r="E27" i="12"/>
  <c r="L27" i="12"/>
  <c r="H27" i="12"/>
  <c r="D27" i="12"/>
  <c r="K27" i="12"/>
  <c r="G27" i="12"/>
  <c r="N26" i="12"/>
  <c r="J26" i="12"/>
  <c r="F26" i="12"/>
  <c r="M26" i="12"/>
  <c r="I26" i="12"/>
  <c r="E26" i="12"/>
  <c r="K26" i="12"/>
  <c r="L26" i="12"/>
  <c r="H26" i="12"/>
  <c r="D26" i="12"/>
  <c r="G26" i="12"/>
  <c r="N28" i="12"/>
  <c r="J28" i="12"/>
  <c r="F28" i="12"/>
  <c r="M28" i="12"/>
  <c r="I28" i="12"/>
  <c r="E28" i="12"/>
  <c r="L28" i="12"/>
  <c r="H28" i="12"/>
  <c r="D28" i="12"/>
  <c r="K28" i="12"/>
  <c r="G28" i="12"/>
  <c r="N25" i="12"/>
  <c r="J25" i="12"/>
  <c r="F25" i="12"/>
  <c r="M25" i="12"/>
  <c r="I25" i="12"/>
  <c r="E25" i="12"/>
  <c r="K25" i="12"/>
  <c r="L25" i="12"/>
  <c r="H25" i="12"/>
  <c r="D25" i="12"/>
  <c r="G25" i="12"/>
  <c r="N24" i="12"/>
  <c r="J24" i="12"/>
  <c r="F24" i="12"/>
  <c r="M24" i="12"/>
  <c r="I24" i="12"/>
  <c r="E24" i="12"/>
  <c r="G24" i="12"/>
  <c r="L24" i="12"/>
  <c r="H24" i="12"/>
  <c r="D24" i="12"/>
  <c r="K24" i="12"/>
  <c r="N17" i="12"/>
  <c r="J17" i="12"/>
  <c r="F17" i="12"/>
  <c r="K17" i="12"/>
  <c r="M17" i="12"/>
  <c r="I17" i="12"/>
  <c r="E17" i="12"/>
  <c r="L17" i="12"/>
  <c r="H17" i="12"/>
  <c r="D17" i="12"/>
  <c r="G17" i="12"/>
  <c r="N15" i="12"/>
  <c r="J15" i="12"/>
  <c r="F15" i="12"/>
  <c r="K15" i="12"/>
  <c r="M15" i="12"/>
  <c r="I15" i="12"/>
  <c r="E15" i="12"/>
  <c r="L15" i="12"/>
  <c r="H15" i="12"/>
  <c r="D15" i="12"/>
  <c r="G15" i="12"/>
  <c r="N18" i="12"/>
  <c r="J18" i="12"/>
  <c r="F18" i="12"/>
  <c r="G18" i="12"/>
  <c r="M18" i="12"/>
  <c r="I18" i="12"/>
  <c r="E18" i="12"/>
  <c r="L18" i="12"/>
  <c r="H18" i="12"/>
  <c r="D18" i="12"/>
  <c r="K18" i="12"/>
  <c r="N19" i="12"/>
  <c r="J19" i="12"/>
  <c r="F19" i="12"/>
  <c r="K19" i="12"/>
  <c r="M19" i="12"/>
  <c r="I19" i="12"/>
  <c r="E19" i="12"/>
  <c r="L19" i="12"/>
  <c r="H19" i="12"/>
  <c r="D19" i="12"/>
  <c r="G19" i="12"/>
  <c r="N16" i="12"/>
  <c r="J16" i="12"/>
  <c r="F16" i="12"/>
  <c r="G16" i="12"/>
  <c r="M16" i="12"/>
  <c r="I16" i="12"/>
  <c r="E16" i="12"/>
  <c r="L16" i="12"/>
  <c r="H16" i="12"/>
  <c r="D16" i="12"/>
  <c r="K16" i="12"/>
  <c r="N6" i="12"/>
  <c r="J6" i="12"/>
  <c r="F6" i="12"/>
  <c r="M6" i="12"/>
  <c r="I6" i="12"/>
  <c r="E6" i="12"/>
  <c r="K6" i="12"/>
  <c r="L6" i="12"/>
  <c r="H6" i="12"/>
  <c r="D6" i="12"/>
  <c r="G6" i="12"/>
  <c r="N8" i="12"/>
  <c r="J8" i="12"/>
  <c r="F8" i="12"/>
  <c r="M8" i="12"/>
  <c r="I8" i="12"/>
  <c r="E8" i="12"/>
  <c r="G8" i="12"/>
  <c r="L8" i="12"/>
  <c r="H8" i="12"/>
  <c r="D8" i="12"/>
  <c r="K8" i="12"/>
  <c r="N9" i="12"/>
  <c r="J9" i="12"/>
  <c r="F9" i="12"/>
  <c r="M9" i="12"/>
  <c r="I9" i="12"/>
  <c r="E9" i="12"/>
  <c r="G9" i="12"/>
  <c r="L9" i="12"/>
  <c r="H9" i="12"/>
  <c r="D9" i="12"/>
  <c r="K9" i="12"/>
  <c r="N10" i="12"/>
  <c r="J10" i="12"/>
  <c r="F10" i="12"/>
  <c r="M10" i="12"/>
  <c r="I10" i="12"/>
  <c r="E10" i="12"/>
  <c r="K10" i="12"/>
  <c r="L10" i="12"/>
  <c r="H10" i="12"/>
  <c r="D10" i="12"/>
  <c r="G10" i="12"/>
  <c r="N7" i="12"/>
  <c r="J7" i="12"/>
  <c r="F7" i="12"/>
  <c r="M7" i="12"/>
  <c r="I7" i="12"/>
  <c r="E7" i="12"/>
  <c r="G7" i="12"/>
  <c r="L7" i="12"/>
  <c r="H7" i="12"/>
  <c r="D7" i="12"/>
  <c r="K7" i="12"/>
  <c r="G254" i="12"/>
  <c r="N442" i="12"/>
  <c r="J442" i="12"/>
  <c r="F442" i="12"/>
  <c r="M442" i="12"/>
  <c r="I442" i="12"/>
  <c r="E442" i="12"/>
  <c r="L442" i="12"/>
  <c r="H442" i="12"/>
  <c r="D442" i="12"/>
  <c r="K442" i="12"/>
  <c r="G442" i="12"/>
  <c r="N445" i="12"/>
  <c r="J445" i="12"/>
  <c r="F445" i="12"/>
  <c r="M445" i="12"/>
  <c r="I445" i="12"/>
  <c r="E445" i="12"/>
  <c r="L445" i="12"/>
  <c r="H445" i="12"/>
  <c r="D445" i="12"/>
  <c r="K445" i="12"/>
  <c r="G445" i="12"/>
  <c r="N441" i="12"/>
  <c r="J441" i="12"/>
  <c r="F441" i="12"/>
  <c r="M441" i="12"/>
  <c r="I441" i="12"/>
  <c r="E441" i="12"/>
  <c r="L441" i="12"/>
  <c r="H441" i="12"/>
  <c r="D441" i="12"/>
  <c r="K441" i="12"/>
  <c r="G441" i="12"/>
  <c r="N443" i="12"/>
  <c r="J443" i="12"/>
  <c r="F443" i="12"/>
  <c r="M443" i="12"/>
  <c r="I443" i="12"/>
  <c r="E443" i="12"/>
  <c r="L443" i="12"/>
  <c r="H443" i="12"/>
  <c r="D443" i="12"/>
  <c r="K443" i="12"/>
  <c r="G443" i="12"/>
  <c r="N444" i="12"/>
  <c r="J444" i="12"/>
  <c r="F444" i="12"/>
  <c r="M444" i="12"/>
  <c r="I444" i="12"/>
  <c r="E444" i="12"/>
  <c r="L444" i="12"/>
  <c r="H444" i="12"/>
  <c r="D444" i="12"/>
  <c r="K444" i="12"/>
  <c r="G444" i="12"/>
  <c r="N426" i="12"/>
  <c r="J426" i="12"/>
  <c r="F426" i="12"/>
  <c r="K426" i="12"/>
  <c r="G426" i="12"/>
  <c r="M426" i="12"/>
  <c r="I426" i="12"/>
  <c r="E426" i="12"/>
  <c r="L426" i="12"/>
  <c r="H426" i="12"/>
  <c r="D426" i="12"/>
  <c r="M418" i="12"/>
  <c r="I418" i="12"/>
  <c r="E418" i="12"/>
  <c r="K418" i="12"/>
  <c r="G418" i="12"/>
  <c r="N418" i="12"/>
  <c r="J418" i="12"/>
  <c r="F418" i="12"/>
  <c r="L418" i="12"/>
  <c r="H418" i="12"/>
  <c r="D418" i="12"/>
  <c r="N425" i="12"/>
  <c r="J425" i="12"/>
  <c r="F425" i="12"/>
  <c r="H425" i="12"/>
  <c r="K425" i="12"/>
  <c r="G425" i="12"/>
  <c r="M425" i="12"/>
  <c r="I425" i="12"/>
  <c r="E425" i="12"/>
  <c r="L425" i="12"/>
  <c r="D425" i="12"/>
  <c r="M417" i="12"/>
  <c r="I417" i="12"/>
  <c r="E417" i="12"/>
  <c r="K417" i="12"/>
  <c r="G417" i="12"/>
  <c r="N417" i="12"/>
  <c r="J417" i="12"/>
  <c r="F417" i="12"/>
  <c r="L417" i="12"/>
  <c r="H417" i="12"/>
  <c r="D417" i="12"/>
  <c r="N424" i="12"/>
  <c r="J424" i="12"/>
  <c r="F424" i="12"/>
  <c r="H424" i="12"/>
  <c r="K424" i="12"/>
  <c r="G424" i="12"/>
  <c r="M424" i="12"/>
  <c r="I424" i="12"/>
  <c r="E424" i="12"/>
  <c r="L424" i="12"/>
  <c r="D424" i="12"/>
  <c r="N427" i="12"/>
  <c r="J427" i="12"/>
  <c r="F427" i="12"/>
  <c r="K427" i="12"/>
  <c r="G427" i="12"/>
  <c r="M427" i="12"/>
  <c r="I427" i="12"/>
  <c r="E427" i="12"/>
  <c r="L427" i="12"/>
  <c r="H427" i="12"/>
  <c r="D427" i="12"/>
  <c r="N423" i="12"/>
  <c r="J423" i="12"/>
  <c r="F423" i="12"/>
  <c r="H423" i="12"/>
  <c r="K423" i="12"/>
  <c r="G423" i="12"/>
  <c r="M423" i="12"/>
  <c r="I423" i="12"/>
  <c r="E423" i="12"/>
  <c r="L423" i="12"/>
  <c r="D423" i="12"/>
  <c r="N406" i="12"/>
  <c r="J406" i="12"/>
  <c r="F406" i="12"/>
  <c r="M406" i="12"/>
  <c r="I406" i="12"/>
  <c r="E406" i="12"/>
  <c r="K406" i="12"/>
  <c r="L406" i="12"/>
  <c r="H406" i="12"/>
  <c r="D406" i="12"/>
  <c r="G406" i="12"/>
  <c r="N407" i="12"/>
  <c r="J407" i="12"/>
  <c r="F407" i="12"/>
  <c r="M407" i="12"/>
  <c r="I407" i="12"/>
  <c r="E407" i="12"/>
  <c r="K407" i="12"/>
  <c r="L407" i="12"/>
  <c r="H407" i="12"/>
  <c r="D407" i="12"/>
  <c r="G407" i="12"/>
  <c r="N408" i="12"/>
  <c r="J408" i="12"/>
  <c r="F408" i="12"/>
  <c r="M408" i="12"/>
  <c r="I408" i="12"/>
  <c r="E408" i="12"/>
  <c r="G408" i="12"/>
  <c r="L408" i="12"/>
  <c r="H408" i="12"/>
  <c r="D408" i="12"/>
  <c r="K408" i="12"/>
  <c r="N409" i="12"/>
  <c r="J409" i="12"/>
  <c r="F409" i="12"/>
  <c r="M409" i="12"/>
  <c r="I409" i="12"/>
  <c r="E409" i="12"/>
  <c r="K409" i="12"/>
  <c r="G409" i="12"/>
  <c r="L409" i="12"/>
  <c r="H409" i="12"/>
  <c r="D409" i="12"/>
  <c r="N405" i="12"/>
  <c r="J405" i="12"/>
  <c r="F405" i="12"/>
  <c r="M405" i="12"/>
  <c r="I405" i="12"/>
  <c r="E405" i="12"/>
  <c r="G405" i="12"/>
  <c r="L405" i="12"/>
  <c r="H405" i="12"/>
  <c r="D405" i="12"/>
  <c r="K405" i="12"/>
  <c r="N397" i="12"/>
  <c r="J397" i="12"/>
  <c r="F397" i="12"/>
  <c r="H397" i="12"/>
  <c r="K397" i="12"/>
  <c r="G397" i="12"/>
  <c r="M397" i="12"/>
  <c r="I397" i="12"/>
  <c r="E397" i="12"/>
  <c r="L397" i="12"/>
  <c r="D397" i="12"/>
  <c r="N396" i="12"/>
  <c r="J396" i="12"/>
  <c r="F396" i="12"/>
  <c r="L396" i="12"/>
  <c r="D396" i="12"/>
  <c r="K396" i="12"/>
  <c r="G396" i="12"/>
  <c r="M396" i="12"/>
  <c r="I396" i="12"/>
  <c r="E396" i="12"/>
  <c r="H396" i="12"/>
  <c r="N399" i="12"/>
  <c r="J399" i="12"/>
  <c r="F399" i="12"/>
  <c r="H399" i="12"/>
  <c r="K399" i="12"/>
  <c r="G399" i="12"/>
  <c r="M399" i="12"/>
  <c r="I399" i="12"/>
  <c r="E399" i="12"/>
  <c r="L399" i="12"/>
  <c r="D399" i="12"/>
  <c r="N400" i="12"/>
  <c r="J400" i="12"/>
  <c r="F400" i="12"/>
  <c r="K400" i="12"/>
  <c r="G400" i="12"/>
  <c r="M400" i="12"/>
  <c r="I400" i="12"/>
  <c r="E400" i="12"/>
  <c r="L400" i="12"/>
  <c r="H400" i="12"/>
  <c r="D400" i="12"/>
  <c r="N398" i="12"/>
  <c r="J398" i="12"/>
  <c r="F398" i="12"/>
  <c r="H398" i="12"/>
  <c r="K398" i="12"/>
  <c r="G398" i="12"/>
  <c r="M398" i="12"/>
  <c r="I398" i="12"/>
  <c r="E398" i="12"/>
  <c r="L398" i="12"/>
  <c r="D398" i="12"/>
  <c r="N389" i="12"/>
  <c r="J389" i="12"/>
  <c r="F389" i="12"/>
  <c r="M389" i="12"/>
  <c r="I389" i="12"/>
  <c r="E389" i="12"/>
  <c r="K389" i="12"/>
  <c r="L389" i="12"/>
  <c r="H389" i="12"/>
  <c r="D389" i="12"/>
  <c r="G389" i="12"/>
  <c r="N387" i="12"/>
  <c r="J387" i="12"/>
  <c r="F387" i="12"/>
  <c r="M387" i="12"/>
  <c r="I387" i="12"/>
  <c r="E387" i="12"/>
  <c r="K387" i="12"/>
  <c r="L387" i="12"/>
  <c r="H387" i="12"/>
  <c r="D387" i="12"/>
  <c r="G387" i="12"/>
  <c r="N390" i="12"/>
  <c r="J390" i="12"/>
  <c r="F390" i="12"/>
  <c r="M390" i="12"/>
  <c r="I390" i="12"/>
  <c r="E390" i="12"/>
  <c r="K390" i="12"/>
  <c r="L390" i="12"/>
  <c r="H390" i="12"/>
  <c r="D390" i="12"/>
  <c r="G390" i="12"/>
  <c r="N391" i="12"/>
  <c r="J391" i="12"/>
  <c r="F391" i="12"/>
  <c r="M391" i="12"/>
  <c r="I391" i="12"/>
  <c r="E391" i="12"/>
  <c r="K391" i="12"/>
  <c r="G391" i="12"/>
  <c r="L391" i="12"/>
  <c r="H391" i="12"/>
  <c r="D391" i="12"/>
  <c r="N388" i="12"/>
  <c r="J388" i="12"/>
  <c r="F388" i="12"/>
  <c r="M388" i="12"/>
  <c r="I388" i="12"/>
  <c r="E388" i="12"/>
  <c r="G388" i="12"/>
  <c r="L388" i="12"/>
  <c r="H388" i="12"/>
  <c r="D388" i="12"/>
  <c r="K388" i="12"/>
  <c r="F379" i="12"/>
  <c r="G379" i="12"/>
  <c r="E379" i="12"/>
  <c r="D379" i="12"/>
  <c r="F382" i="12"/>
  <c r="G382" i="12"/>
  <c r="E382" i="12"/>
  <c r="D382" i="12"/>
  <c r="F381" i="12"/>
  <c r="D381" i="12"/>
  <c r="G381" i="12"/>
  <c r="E381" i="12"/>
  <c r="F378" i="12"/>
  <c r="D378" i="12"/>
  <c r="G378" i="12"/>
  <c r="E378" i="12"/>
  <c r="F380" i="12"/>
  <c r="D380" i="12"/>
  <c r="G380" i="12"/>
  <c r="E380" i="12"/>
  <c r="H360" i="12"/>
  <c r="J252" i="12"/>
  <c r="M251" i="12"/>
  <c r="D252" i="12"/>
  <c r="F341" i="12"/>
  <c r="J251" i="12"/>
  <c r="K252" i="12"/>
  <c r="K341" i="12"/>
  <c r="M341" i="12"/>
  <c r="L360" i="12"/>
  <c r="J373" i="12"/>
  <c r="I373" i="12"/>
  <c r="H373" i="12"/>
  <c r="K373" i="12"/>
  <c r="J372" i="12"/>
  <c r="I372" i="12"/>
  <c r="H372" i="12"/>
  <c r="K372" i="12"/>
  <c r="J371" i="12"/>
  <c r="I371" i="12"/>
  <c r="K371" i="12"/>
  <c r="H371" i="12"/>
  <c r="J370" i="12"/>
  <c r="I370" i="12"/>
  <c r="H370" i="12"/>
  <c r="K370" i="12"/>
  <c r="D341" i="12"/>
  <c r="G360" i="12"/>
  <c r="K254" i="12"/>
  <c r="N362" i="12"/>
  <c r="J362" i="12"/>
  <c r="F362" i="12"/>
  <c r="K362" i="12"/>
  <c r="M362" i="12"/>
  <c r="I362" i="12"/>
  <c r="E362" i="12"/>
  <c r="L362" i="12"/>
  <c r="H362" i="12"/>
  <c r="D362" i="12"/>
  <c r="G362" i="12"/>
  <c r="N361" i="12"/>
  <c r="J361" i="12"/>
  <c r="F361" i="12"/>
  <c r="G361" i="12"/>
  <c r="M361" i="12"/>
  <c r="I361" i="12"/>
  <c r="E361" i="12"/>
  <c r="L361" i="12"/>
  <c r="H361" i="12"/>
  <c r="D361" i="12"/>
  <c r="K361" i="12"/>
  <c r="N364" i="12"/>
  <c r="J364" i="12"/>
  <c r="F364" i="12"/>
  <c r="K364" i="12"/>
  <c r="G364" i="12"/>
  <c r="M364" i="12"/>
  <c r="I364" i="12"/>
  <c r="E364" i="12"/>
  <c r="L364" i="12"/>
  <c r="H364" i="12"/>
  <c r="D364" i="12"/>
  <c r="N363" i="12"/>
  <c r="J363" i="12"/>
  <c r="F363" i="12"/>
  <c r="K363" i="12"/>
  <c r="G363" i="12"/>
  <c r="M363" i="12"/>
  <c r="I363" i="12"/>
  <c r="E363" i="12"/>
  <c r="L363" i="12"/>
  <c r="H363" i="12"/>
  <c r="D363" i="12"/>
  <c r="E253" i="12"/>
  <c r="I252" i="12"/>
  <c r="D251" i="12"/>
  <c r="F350" i="12"/>
  <c r="H350" i="12"/>
  <c r="I350" i="12"/>
  <c r="G350" i="12"/>
  <c r="M253" i="12"/>
  <c r="E251" i="12"/>
  <c r="L252" i="12"/>
  <c r="K253" i="12"/>
  <c r="E350" i="12"/>
  <c r="D350" i="12"/>
  <c r="E351" i="12"/>
  <c r="G351" i="12"/>
  <c r="F353" i="12"/>
  <c r="D353" i="12"/>
  <c r="G353" i="12"/>
  <c r="I353" i="12"/>
  <c r="E353" i="12"/>
  <c r="H353" i="12"/>
  <c r="F352" i="12"/>
  <c r="H352" i="12"/>
  <c r="G352" i="12"/>
  <c r="I352" i="12"/>
  <c r="E352" i="12"/>
  <c r="D352" i="12"/>
  <c r="F354" i="12"/>
  <c r="H354" i="12"/>
  <c r="G354" i="12"/>
  <c r="I354" i="12"/>
  <c r="E354" i="12"/>
  <c r="D354" i="12"/>
  <c r="I341" i="12"/>
  <c r="J341" i="12"/>
  <c r="E341" i="12"/>
  <c r="L341" i="12"/>
  <c r="H341" i="12"/>
  <c r="G341" i="12"/>
  <c r="N345" i="12"/>
  <c r="J345" i="12"/>
  <c r="F345" i="12"/>
  <c r="K345" i="12"/>
  <c r="G345" i="12"/>
  <c r="M345" i="12"/>
  <c r="I345" i="12"/>
  <c r="E345" i="12"/>
  <c r="L345" i="12"/>
  <c r="H345" i="12"/>
  <c r="D345" i="12"/>
  <c r="N344" i="12"/>
  <c r="J344" i="12"/>
  <c r="F344" i="12"/>
  <c r="K344" i="12"/>
  <c r="M344" i="12"/>
  <c r="I344" i="12"/>
  <c r="E344" i="12"/>
  <c r="L344" i="12"/>
  <c r="H344" i="12"/>
  <c r="D344" i="12"/>
  <c r="G344" i="12"/>
  <c r="N342" i="12"/>
  <c r="J342" i="12"/>
  <c r="F342" i="12"/>
  <c r="G342" i="12"/>
  <c r="M342" i="12"/>
  <c r="I342" i="12"/>
  <c r="E342" i="12"/>
  <c r="L342" i="12"/>
  <c r="H342" i="12"/>
  <c r="D342" i="12"/>
  <c r="K342" i="12"/>
  <c r="N343" i="12"/>
  <c r="J343" i="12"/>
  <c r="F343" i="12"/>
  <c r="K343" i="12"/>
  <c r="M343" i="12"/>
  <c r="I343" i="12"/>
  <c r="E343" i="12"/>
  <c r="L343" i="12"/>
  <c r="H343" i="12"/>
  <c r="D343" i="12"/>
  <c r="G343" i="12"/>
  <c r="N336" i="12"/>
  <c r="J336" i="12"/>
  <c r="F336" i="12"/>
  <c r="L336" i="12"/>
  <c r="D336" i="12"/>
  <c r="K336" i="12"/>
  <c r="G336" i="12"/>
  <c r="M336" i="12"/>
  <c r="I336" i="12"/>
  <c r="E336" i="12"/>
  <c r="H336" i="12"/>
  <c r="N335" i="12"/>
  <c r="J335" i="12"/>
  <c r="F335" i="12"/>
  <c r="H335" i="12"/>
  <c r="K335" i="12"/>
  <c r="G335" i="12"/>
  <c r="M335" i="12"/>
  <c r="I335" i="12"/>
  <c r="E335" i="12"/>
  <c r="L335" i="12"/>
  <c r="D335" i="12"/>
  <c r="N333" i="12"/>
  <c r="J333" i="12"/>
  <c r="F333" i="12"/>
  <c r="H333" i="12"/>
  <c r="K333" i="12"/>
  <c r="G333" i="12"/>
  <c r="M333" i="12"/>
  <c r="I333" i="12"/>
  <c r="E333" i="12"/>
  <c r="L333" i="12"/>
  <c r="D333" i="12"/>
  <c r="N332" i="12"/>
  <c r="J332" i="12"/>
  <c r="F332" i="12"/>
  <c r="L332" i="12"/>
  <c r="D332" i="12"/>
  <c r="K332" i="12"/>
  <c r="G332" i="12"/>
  <c r="M332" i="12"/>
  <c r="I332" i="12"/>
  <c r="E332" i="12"/>
  <c r="H332" i="12"/>
  <c r="N334" i="12"/>
  <c r="J334" i="12"/>
  <c r="F334" i="12"/>
  <c r="L334" i="12"/>
  <c r="D334" i="12"/>
  <c r="K334" i="12"/>
  <c r="G334" i="12"/>
  <c r="M334" i="12"/>
  <c r="I334" i="12"/>
  <c r="E334" i="12"/>
  <c r="H334" i="12"/>
  <c r="N327" i="12"/>
  <c r="J327" i="12"/>
  <c r="F327" i="12"/>
  <c r="M327" i="12"/>
  <c r="I327" i="12"/>
  <c r="E327" i="12"/>
  <c r="L327" i="12"/>
  <c r="H327" i="12"/>
  <c r="D327" i="12"/>
  <c r="K327" i="12"/>
  <c r="G327" i="12"/>
  <c r="N326" i="12"/>
  <c r="J326" i="12"/>
  <c r="F326" i="12"/>
  <c r="M326" i="12"/>
  <c r="I326" i="12"/>
  <c r="E326" i="12"/>
  <c r="L326" i="12"/>
  <c r="H326" i="12"/>
  <c r="D326" i="12"/>
  <c r="K326" i="12"/>
  <c r="G326" i="12"/>
  <c r="N325" i="12"/>
  <c r="J325" i="12"/>
  <c r="F325" i="12"/>
  <c r="M325" i="12"/>
  <c r="I325" i="12"/>
  <c r="E325" i="12"/>
  <c r="G325" i="12"/>
  <c r="L325" i="12"/>
  <c r="H325" i="12"/>
  <c r="D325" i="12"/>
  <c r="K325" i="12"/>
  <c r="N324" i="12"/>
  <c r="J324" i="12"/>
  <c r="F324" i="12"/>
  <c r="M324" i="12"/>
  <c r="I324" i="12"/>
  <c r="E324" i="12"/>
  <c r="L324" i="12"/>
  <c r="H324" i="12"/>
  <c r="D324" i="12"/>
  <c r="K324" i="12"/>
  <c r="G324" i="12"/>
  <c r="N323" i="12"/>
  <c r="J323" i="12"/>
  <c r="F323" i="12"/>
  <c r="M323" i="12"/>
  <c r="I323" i="12"/>
  <c r="E323" i="12"/>
  <c r="G323" i="12"/>
  <c r="L323" i="12"/>
  <c r="H323" i="12"/>
  <c r="D323" i="12"/>
  <c r="K323" i="12"/>
  <c r="N318" i="12"/>
  <c r="J318" i="12"/>
  <c r="F318" i="12"/>
  <c r="M318" i="12"/>
  <c r="I318" i="12"/>
  <c r="E318" i="12"/>
  <c r="L318" i="12"/>
  <c r="H318" i="12"/>
  <c r="D318" i="12"/>
  <c r="K318" i="12"/>
  <c r="G318" i="12"/>
  <c r="N317" i="12"/>
  <c r="J317" i="12"/>
  <c r="F317" i="12"/>
  <c r="M317" i="12"/>
  <c r="I317" i="12"/>
  <c r="E317" i="12"/>
  <c r="G317" i="12"/>
  <c r="L317" i="12"/>
  <c r="H317" i="12"/>
  <c r="D317" i="12"/>
  <c r="K317" i="12"/>
  <c r="N316" i="12"/>
  <c r="J316" i="12"/>
  <c r="F316" i="12"/>
  <c r="M316" i="12"/>
  <c r="I316" i="12"/>
  <c r="E316" i="12"/>
  <c r="G316" i="12"/>
  <c r="L316" i="12"/>
  <c r="H316" i="12"/>
  <c r="D316" i="12"/>
  <c r="K316" i="12"/>
  <c r="N315" i="12"/>
  <c r="J315" i="12"/>
  <c r="F315" i="12"/>
  <c r="M315" i="12"/>
  <c r="I315" i="12"/>
  <c r="E315" i="12"/>
  <c r="K315" i="12"/>
  <c r="L315" i="12"/>
  <c r="H315" i="12"/>
  <c r="D315" i="12"/>
  <c r="G315" i="12"/>
  <c r="N314" i="12"/>
  <c r="J314" i="12"/>
  <c r="F314" i="12"/>
  <c r="M314" i="12"/>
  <c r="I314" i="12"/>
  <c r="E314" i="12"/>
  <c r="G314" i="12"/>
  <c r="L314" i="12"/>
  <c r="H314" i="12"/>
  <c r="D314" i="12"/>
  <c r="K314" i="12"/>
  <c r="N309" i="12"/>
  <c r="J309" i="12"/>
  <c r="F309" i="12"/>
  <c r="G309" i="12"/>
  <c r="M309" i="12"/>
  <c r="I309" i="12"/>
  <c r="E309" i="12"/>
  <c r="L309" i="12"/>
  <c r="H309" i="12"/>
  <c r="D309" i="12"/>
  <c r="K309" i="12"/>
  <c r="N306" i="12"/>
  <c r="J306" i="12"/>
  <c r="F306" i="12"/>
  <c r="K306" i="12"/>
  <c r="M306" i="12"/>
  <c r="I306" i="12"/>
  <c r="E306" i="12"/>
  <c r="L306" i="12"/>
  <c r="H306" i="12"/>
  <c r="D306" i="12"/>
  <c r="G306" i="12"/>
  <c r="N307" i="12"/>
  <c r="J307" i="12"/>
  <c r="F307" i="12"/>
  <c r="G307" i="12"/>
  <c r="M307" i="12"/>
  <c r="I307" i="12"/>
  <c r="E307" i="12"/>
  <c r="L307" i="12"/>
  <c r="H307" i="12"/>
  <c r="D307" i="12"/>
  <c r="K307" i="12"/>
  <c r="N308" i="12"/>
  <c r="J308" i="12"/>
  <c r="F308" i="12"/>
  <c r="G308" i="12"/>
  <c r="M308" i="12"/>
  <c r="I308" i="12"/>
  <c r="E308" i="12"/>
  <c r="L308" i="12"/>
  <c r="H308" i="12"/>
  <c r="D308" i="12"/>
  <c r="K308" i="12"/>
  <c r="N305" i="12"/>
  <c r="J305" i="12"/>
  <c r="F305" i="12"/>
  <c r="G305" i="12"/>
  <c r="M305" i="12"/>
  <c r="I305" i="12"/>
  <c r="E305" i="12"/>
  <c r="L305" i="12"/>
  <c r="H305" i="12"/>
  <c r="D305" i="12"/>
  <c r="K305" i="12"/>
  <c r="N297" i="12"/>
  <c r="J297" i="12"/>
  <c r="F297" i="12"/>
  <c r="M297" i="12"/>
  <c r="I297" i="12"/>
  <c r="E297" i="12"/>
  <c r="K297" i="12"/>
  <c r="L297" i="12"/>
  <c r="H297" i="12"/>
  <c r="D297" i="12"/>
  <c r="G297" i="12"/>
  <c r="N299" i="12"/>
  <c r="J299" i="12"/>
  <c r="F299" i="12"/>
  <c r="M299" i="12"/>
  <c r="I299" i="12"/>
  <c r="E299" i="12"/>
  <c r="K299" i="12"/>
  <c r="G299" i="12"/>
  <c r="L299" i="12"/>
  <c r="H299" i="12"/>
  <c r="D299" i="12"/>
  <c r="N298" i="12"/>
  <c r="J298" i="12"/>
  <c r="F298" i="12"/>
  <c r="M298" i="12"/>
  <c r="I298" i="12"/>
  <c r="E298" i="12"/>
  <c r="K298" i="12"/>
  <c r="L298" i="12"/>
  <c r="H298" i="12"/>
  <c r="D298" i="12"/>
  <c r="G298" i="12"/>
  <c r="N300" i="12"/>
  <c r="J300" i="12"/>
  <c r="F300" i="12"/>
  <c r="M300" i="12"/>
  <c r="I300" i="12"/>
  <c r="E300" i="12"/>
  <c r="K300" i="12"/>
  <c r="G300" i="12"/>
  <c r="L300" i="12"/>
  <c r="H300" i="12"/>
  <c r="D300" i="12"/>
  <c r="N296" i="12"/>
  <c r="J296" i="12"/>
  <c r="F296" i="12"/>
  <c r="M296" i="12"/>
  <c r="I296" i="12"/>
  <c r="E296" i="12"/>
  <c r="K296" i="12"/>
  <c r="L296" i="12"/>
  <c r="H296" i="12"/>
  <c r="D296" i="12"/>
  <c r="G296" i="12"/>
  <c r="N288" i="12"/>
  <c r="J288" i="12"/>
  <c r="F288" i="12"/>
  <c r="M288" i="12"/>
  <c r="I288" i="12"/>
  <c r="E288" i="12"/>
  <c r="K288" i="12"/>
  <c r="L288" i="12"/>
  <c r="H288" i="12"/>
  <c r="D288" i="12"/>
  <c r="G288" i="12"/>
  <c r="N290" i="12"/>
  <c r="J290" i="12"/>
  <c r="F290" i="12"/>
  <c r="M290" i="12"/>
  <c r="I290" i="12"/>
  <c r="E290" i="12"/>
  <c r="G290" i="12"/>
  <c r="L290" i="12"/>
  <c r="H290" i="12"/>
  <c r="D290" i="12"/>
  <c r="K290" i="12"/>
  <c r="N287" i="12"/>
  <c r="J287" i="12"/>
  <c r="F287" i="12"/>
  <c r="M287" i="12"/>
  <c r="I287" i="12"/>
  <c r="E287" i="12"/>
  <c r="K287" i="12"/>
  <c r="L287" i="12"/>
  <c r="H287" i="12"/>
  <c r="D287" i="12"/>
  <c r="G287" i="12"/>
  <c r="N291" i="12"/>
  <c r="J291" i="12"/>
  <c r="F291" i="12"/>
  <c r="M291" i="12"/>
  <c r="I291" i="12"/>
  <c r="E291" i="12"/>
  <c r="K291" i="12"/>
  <c r="G291" i="12"/>
  <c r="L291" i="12"/>
  <c r="H291" i="12"/>
  <c r="D291" i="12"/>
  <c r="N289" i="12"/>
  <c r="J289" i="12"/>
  <c r="F289" i="12"/>
  <c r="M289" i="12"/>
  <c r="I289" i="12"/>
  <c r="E289" i="12"/>
  <c r="G289" i="12"/>
  <c r="L289" i="12"/>
  <c r="H289" i="12"/>
  <c r="D289" i="12"/>
  <c r="K289" i="12"/>
  <c r="N279" i="12"/>
  <c r="J279" i="12"/>
  <c r="F279" i="12"/>
  <c r="M279" i="12"/>
  <c r="I279" i="12"/>
  <c r="E279" i="12"/>
  <c r="L279" i="12"/>
  <c r="H279" i="12"/>
  <c r="D279" i="12"/>
  <c r="K279" i="12"/>
  <c r="G279" i="12"/>
  <c r="N282" i="12"/>
  <c r="J282" i="12"/>
  <c r="F282" i="12"/>
  <c r="G282" i="12"/>
  <c r="M282" i="12"/>
  <c r="I282" i="12"/>
  <c r="E282" i="12"/>
  <c r="L282" i="12"/>
  <c r="H282" i="12"/>
  <c r="D282" i="12"/>
  <c r="K282" i="12"/>
  <c r="N281" i="12"/>
  <c r="J281" i="12"/>
  <c r="F281" i="12"/>
  <c r="K281" i="12"/>
  <c r="G281" i="12"/>
  <c r="M281" i="12"/>
  <c r="I281" i="12"/>
  <c r="E281" i="12"/>
  <c r="L281" i="12"/>
  <c r="H281" i="12"/>
  <c r="D281" i="12"/>
  <c r="N280" i="12"/>
  <c r="J280" i="12"/>
  <c r="F280" i="12"/>
  <c r="K280" i="12"/>
  <c r="M280" i="12"/>
  <c r="I280" i="12"/>
  <c r="E280" i="12"/>
  <c r="L280" i="12"/>
  <c r="H280" i="12"/>
  <c r="D280" i="12"/>
  <c r="G280" i="12"/>
  <c r="N278" i="12"/>
  <c r="J278" i="12"/>
  <c r="F278" i="12"/>
  <c r="G278" i="12"/>
  <c r="M278" i="12"/>
  <c r="I278" i="12"/>
  <c r="E278" i="12"/>
  <c r="L278" i="12"/>
  <c r="H278" i="12"/>
  <c r="D278" i="12"/>
  <c r="K278" i="12"/>
  <c r="N271" i="12"/>
  <c r="J271" i="12"/>
  <c r="F271" i="12"/>
  <c r="L271" i="12"/>
  <c r="H271" i="12"/>
  <c r="K271" i="12"/>
  <c r="G271" i="12"/>
  <c r="M271" i="12"/>
  <c r="I271" i="12"/>
  <c r="E271" i="12"/>
  <c r="D271" i="12"/>
  <c r="N270" i="12"/>
  <c r="J270" i="12"/>
  <c r="F270" i="12"/>
  <c r="L270" i="12"/>
  <c r="H270" i="12"/>
  <c r="K270" i="12"/>
  <c r="G270" i="12"/>
  <c r="M270" i="12"/>
  <c r="I270" i="12"/>
  <c r="E270" i="12"/>
  <c r="D270" i="12"/>
  <c r="N273" i="12"/>
  <c r="J273" i="12"/>
  <c r="F273" i="12"/>
  <c r="L273" i="12"/>
  <c r="H273" i="12"/>
  <c r="D273" i="12"/>
  <c r="K273" i="12"/>
  <c r="G273" i="12"/>
  <c r="M273" i="12"/>
  <c r="I273" i="12"/>
  <c r="E273" i="12"/>
  <c r="N272" i="12"/>
  <c r="J272" i="12"/>
  <c r="F272" i="12"/>
  <c r="L272" i="12"/>
  <c r="H272" i="12"/>
  <c r="D272" i="12"/>
  <c r="K272" i="12"/>
  <c r="G272" i="12"/>
  <c r="M272" i="12"/>
  <c r="I272" i="12"/>
  <c r="E272" i="12"/>
  <c r="K243" i="12"/>
  <c r="G219" i="12"/>
  <c r="M255" i="12"/>
  <c r="I255" i="12"/>
  <c r="G251" i="12"/>
  <c r="F252" i="12"/>
  <c r="I253" i="12"/>
  <c r="E252" i="12"/>
  <c r="D253" i="12"/>
  <c r="L251" i="12"/>
  <c r="G253" i="12"/>
  <c r="F253" i="12"/>
  <c r="F251" i="12"/>
  <c r="M252" i="12"/>
  <c r="I251" i="12"/>
  <c r="L253" i="12"/>
  <c r="H252" i="12"/>
  <c r="G252" i="12"/>
  <c r="D246" i="12"/>
  <c r="G243" i="12"/>
  <c r="N263" i="12"/>
  <c r="J263" i="12"/>
  <c r="F263" i="12"/>
  <c r="K263" i="12"/>
  <c r="M263" i="12"/>
  <c r="I263" i="12"/>
  <c r="E263" i="12"/>
  <c r="G263" i="12"/>
  <c r="L263" i="12"/>
  <c r="H263" i="12"/>
  <c r="D263" i="12"/>
  <c r="N260" i="12"/>
  <c r="J260" i="12"/>
  <c r="F260" i="12"/>
  <c r="G260" i="12"/>
  <c r="M260" i="12"/>
  <c r="I260" i="12"/>
  <c r="E260" i="12"/>
  <c r="K260" i="12"/>
  <c r="L260" i="12"/>
  <c r="H260" i="12"/>
  <c r="D260" i="12"/>
  <c r="E255" i="12"/>
  <c r="L255" i="12"/>
  <c r="N261" i="12"/>
  <c r="J261" i="12"/>
  <c r="F261" i="12"/>
  <c r="K261" i="12"/>
  <c r="M261" i="12"/>
  <c r="I261" i="12"/>
  <c r="E261" i="12"/>
  <c r="G261" i="12"/>
  <c r="L261" i="12"/>
  <c r="H261" i="12"/>
  <c r="D261" i="12"/>
  <c r="N262" i="12"/>
  <c r="J262" i="12"/>
  <c r="F262" i="12"/>
  <c r="G262" i="12"/>
  <c r="M262" i="12"/>
  <c r="I262" i="12"/>
  <c r="E262" i="12"/>
  <c r="K262" i="12"/>
  <c r="L262" i="12"/>
  <c r="H262" i="12"/>
  <c r="D262" i="12"/>
  <c r="J255" i="12"/>
  <c r="D255" i="12"/>
  <c r="N264" i="12"/>
  <c r="J264" i="12"/>
  <c r="F264" i="12"/>
  <c r="G264" i="12"/>
  <c r="M264" i="12"/>
  <c r="I264" i="12"/>
  <c r="E264" i="12"/>
  <c r="K264" i="12"/>
  <c r="L264" i="12"/>
  <c r="H264" i="12"/>
  <c r="D264" i="12"/>
  <c r="H255" i="12"/>
  <c r="H251" i="12"/>
  <c r="K255" i="12"/>
  <c r="K251" i="12"/>
  <c r="L242" i="12"/>
  <c r="H242" i="12"/>
  <c r="K242" i="12"/>
  <c r="F242" i="12"/>
  <c r="N242" i="12"/>
  <c r="J242" i="12"/>
  <c r="E242" i="12"/>
  <c r="M242" i="12"/>
  <c r="I242" i="12"/>
  <c r="D242" i="12"/>
  <c r="J246" i="12"/>
  <c r="E246" i="12"/>
  <c r="N246" i="12"/>
  <c r="I246" i="12"/>
  <c r="M246" i="12"/>
  <c r="H246" i="12"/>
  <c r="L246" i="12"/>
  <c r="F246" i="12"/>
  <c r="J245" i="12"/>
  <c r="E245" i="12"/>
  <c r="N245" i="12"/>
  <c r="I245" i="12"/>
  <c r="M245" i="12"/>
  <c r="H245" i="12"/>
  <c r="L245" i="12"/>
  <c r="F245" i="12"/>
  <c r="H235" i="12"/>
  <c r="L243" i="12"/>
  <c r="F243" i="12"/>
  <c r="J243" i="12"/>
  <c r="E243" i="12"/>
  <c r="N243" i="12"/>
  <c r="I243" i="12"/>
  <c r="M243" i="12"/>
  <c r="H243" i="12"/>
  <c r="D245" i="12"/>
  <c r="K245" i="12"/>
  <c r="K246" i="12"/>
  <c r="G242" i="12"/>
  <c r="E234" i="12"/>
  <c r="G236" i="12"/>
  <c r="D236" i="12"/>
  <c r="J237" i="12"/>
  <c r="I236" i="12"/>
  <c r="I235" i="12"/>
  <c r="F219" i="12"/>
  <c r="L236" i="12"/>
  <c r="J235" i="12"/>
  <c r="I237" i="12"/>
  <c r="J234" i="12"/>
  <c r="H224" i="12"/>
  <c r="M219" i="12"/>
  <c r="L219" i="12"/>
  <c r="H219" i="12"/>
  <c r="I219" i="12"/>
  <c r="J219" i="12"/>
  <c r="E219" i="12"/>
  <c r="D219" i="12"/>
  <c r="I224" i="12"/>
  <c r="K224" i="12"/>
  <c r="I233" i="12"/>
  <c r="E236" i="12"/>
  <c r="H236" i="12"/>
  <c r="N236" i="12"/>
  <c r="E237" i="12"/>
  <c r="I234" i="12"/>
  <c r="D237" i="12"/>
  <c r="F234" i="12"/>
  <c r="D226" i="12"/>
  <c r="L234" i="12"/>
  <c r="D229" i="12"/>
  <c r="H234" i="12"/>
  <c r="G234" i="12"/>
  <c r="H237" i="12"/>
  <c r="D234" i="12"/>
  <c r="N234" i="12"/>
  <c r="J224" i="12"/>
  <c r="E224" i="12"/>
  <c r="G224" i="12"/>
  <c r="F224" i="12"/>
  <c r="L224" i="12"/>
  <c r="M224" i="12"/>
  <c r="D224" i="12"/>
  <c r="E235" i="12"/>
  <c r="E233" i="12"/>
  <c r="N233" i="12"/>
  <c r="D235" i="12"/>
  <c r="L233" i="12"/>
  <c r="K235" i="12"/>
  <c r="K233" i="12"/>
  <c r="F233" i="12"/>
  <c r="H233" i="12"/>
  <c r="G235" i="12"/>
  <c r="N235" i="12"/>
  <c r="F235" i="12"/>
  <c r="L235" i="12"/>
  <c r="D233" i="12"/>
  <c r="F236" i="12"/>
  <c r="J233" i="12"/>
  <c r="K236" i="12"/>
  <c r="K234" i="12"/>
  <c r="J236" i="12"/>
  <c r="L226" i="12"/>
  <c r="E226" i="12"/>
  <c r="H226" i="12"/>
  <c r="L237" i="12"/>
  <c r="N237" i="12"/>
  <c r="K237" i="12"/>
  <c r="F237" i="12"/>
  <c r="G237" i="12"/>
  <c r="G233" i="12"/>
  <c r="M228" i="12"/>
  <c r="K228" i="12"/>
  <c r="M226" i="12"/>
  <c r="F215" i="12"/>
  <c r="J228" i="12"/>
  <c r="F228" i="12"/>
  <c r="J226" i="12"/>
  <c r="L228" i="12"/>
  <c r="E228" i="12"/>
  <c r="I228" i="12"/>
  <c r="G228" i="12"/>
  <c r="F226" i="12"/>
  <c r="D228" i="12"/>
  <c r="H228" i="12"/>
  <c r="G226" i="12"/>
  <c r="F217" i="12"/>
  <c r="M215" i="12"/>
  <c r="J215" i="12"/>
  <c r="G215" i="12"/>
  <c r="E215" i="12"/>
  <c r="H215" i="12"/>
  <c r="D215" i="12"/>
  <c r="K215" i="12"/>
  <c r="I215" i="12"/>
  <c r="I226" i="12"/>
  <c r="K226" i="12"/>
  <c r="L225" i="12"/>
  <c r="H225" i="12"/>
  <c r="D225" i="12"/>
  <c r="J225" i="12"/>
  <c r="K225" i="12"/>
  <c r="G225" i="12"/>
  <c r="N225" i="12"/>
  <c r="F225" i="12"/>
  <c r="M225" i="12"/>
  <c r="I225" i="12"/>
  <c r="E225" i="12"/>
  <c r="L227" i="12"/>
  <c r="H227" i="12"/>
  <c r="D227" i="12"/>
  <c r="F227" i="12"/>
  <c r="K227" i="12"/>
  <c r="G227" i="12"/>
  <c r="N227" i="12"/>
  <c r="J227" i="12"/>
  <c r="M227" i="12"/>
  <c r="I227" i="12"/>
  <c r="E227" i="12"/>
  <c r="K217" i="12"/>
  <c r="E217" i="12"/>
  <c r="H217" i="12"/>
  <c r="I220" i="12"/>
  <c r="E220" i="12"/>
  <c r="G217" i="12"/>
  <c r="D217" i="12"/>
  <c r="M217" i="12"/>
  <c r="J217" i="12"/>
  <c r="I217" i="12"/>
  <c r="L217" i="12"/>
  <c r="L215" i="12"/>
  <c r="L218" i="12"/>
  <c r="H218" i="12"/>
  <c r="D218" i="12"/>
  <c r="K218" i="12"/>
  <c r="G218" i="12"/>
  <c r="M218" i="12"/>
  <c r="I218" i="12"/>
  <c r="E218" i="12"/>
  <c r="N218" i="12"/>
  <c r="J218" i="12"/>
  <c r="F218" i="12"/>
  <c r="L216" i="12"/>
  <c r="H216" i="12"/>
  <c r="D216" i="12"/>
  <c r="M216" i="12"/>
  <c r="I216" i="12"/>
  <c r="E216" i="12"/>
  <c r="K216" i="12"/>
  <c r="G216" i="12"/>
  <c r="N216" i="12"/>
  <c r="J216" i="12"/>
  <c r="F216" i="12"/>
  <c r="V21" i="6"/>
  <c r="V18" i="6"/>
  <c r="V17" i="6"/>
  <c r="V22" i="6"/>
  <c r="U19" i="6"/>
  <c r="AC19" i="6"/>
  <c r="N17" i="6"/>
  <c r="L20" i="6"/>
  <c r="N20" i="6" s="1"/>
  <c r="L19" i="6"/>
  <c r="N19" i="6" s="1"/>
  <c r="L15" i="6" s="1"/>
  <c r="L18" i="6"/>
  <c r="N18" i="6" s="1"/>
  <c r="L22" i="6"/>
  <c r="N22" i="6" s="1"/>
  <c r="T19" i="6" l="1"/>
  <c r="V20" i="6" s="1"/>
  <c r="L18" i="13"/>
  <c r="L20" i="13"/>
  <c r="L14" i="13"/>
  <c r="L10" i="13"/>
  <c r="L8" i="13"/>
  <c r="L85" i="1"/>
  <c r="L124" i="1"/>
  <c r="L248" i="1"/>
  <c r="L137" i="1"/>
  <c r="M82" i="1"/>
  <c r="X82" i="1" s="1"/>
  <c r="M81" i="1"/>
  <c r="W81" i="1" s="1"/>
  <c r="M80" i="1"/>
  <c r="V80" i="1" s="1"/>
  <c r="M79" i="1"/>
  <c r="U79" i="1" s="1"/>
  <c r="M78" i="1"/>
  <c r="X78" i="1" s="1"/>
  <c r="M77" i="1"/>
  <c r="N77" i="1" s="1"/>
  <c r="M121" i="1"/>
  <c r="W121" i="1" s="1"/>
  <c r="M120" i="1"/>
  <c r="V120" i="1" s="1"/>
  <c r="M119" i="1"/>
  <c r="U119" i="1" s="1"/>
  <c r="M118" i="1"/>
  <c r="X118" i="1" s="1"/>
  <c r="M117" i="1"/>
  <c r="W117" i="1" s="1"/>
  <c r="M116" i="1"/>
  <c r="V116" i="1" s="1"/>
  <c r="M244" i="1"/>
  <c r="W244" i="1" s="1"/>
  <c r="M243" i="1"/>
  <c r="V243" i="1" s="1"/>
  <c r="M242" i="1"/>
  <c r="U242" i="1" s="1"/>
  <c r="M241" i="1"/>
  <c r="X241" i="1" s="1"/>
  <c r="M240" i="1"/>
  <c r="V240" i="1" s="1"/>
  <c r="M245" i="1"/>
  <c r="X245" i="1" s="1"/>
  <c r="M132" i="1"/>
  <c r="W132" i="1" s="1"/>
  <c r="M131" i="1"/>
  <c r="W131" i="1" s="1"/>
  <c r="M130" i="1"/>
  <c r="X130" i="1" s="1"/>
  <c r="M129" i="1"/>
  <c r="R129" i="1" s="1"/>
  <c r="M133" i="1"/>
  <c r="N133" i="1" s="1"/>
  <c r="M134" i="1"/>
  <c r="X134" i="1" s="1"/>
  <c r="C14" i="1"/>
  <c r="C16" i="1" s="1"/>
  <c r="D14" i="1"/>
  <c r="D15" i="1" s="1"/>
  <c r="E14" i="1"/>
  <c r="E19" i="1" s="1"/>
  <c r="F14" i="1"/>
  <c r="F15" i="1" s="1"/>
  <c r="G14" i="1"/>
  <c r="H14" i="1"/>
  <c r="I14" i="1"/>
  <c r="J14" i="1"/>
  <c r="C25" i="1"/>
  <c r="D25" i="1"/>
  <c r="E25" i="1"/>
  <c r="F25" i="1"/>
  <c r="G25" i="1"/>
  <c r="H25" i="1"/>
  <c r="I25" i="1"/>
  <c r="J25" i="1"/>
  <c r="C26" i="1"/>
  <c r="D26" i="1"/>
  <c r="E26" i="1"/>
  <c r="F26" i="1"/>
  <c r="C27" i="1"/>
  <c r="D27" i="1"/>
  <c r="E27" i="1"/>
  <c r="F27" i="1"/>
  <c r="C28" i="1"/>
  <c r="D28" i="1"/>
  <c r="E28" i="1"/>
  <c r="F28" i="1"/>
  <c r="C29" i="1"/>
  <c r="D29" i="1"/>
  <c r="E29" i="1"/>
  <c r="F29" i="1"/>
  <c r="C30" i="1"/>
  <c r="D30" i="1"/>
  <c r="E30" i="1"/>
  <c r="F30" i="1"/>
  <c r="C31" i="1"/>
  <c r="D31" i="1"/>
  <c r="E31" i="1"/>
  <c r="F31" i="1"/>
  <c r="C36" i="1"/>
  <c r="C38" i="1" s="1"/>
  <c r="D36" i="1"/>
  <c r="D39" i="1" s="1"/>
  <c r="E36" i="1"/>
  <c r="E38" i="1" s="1"/>
  <c r="F36" i="1"/>
  <c r="F37" i="1" s="1"/>
  <c r="G36" i="1"/>
  <c r="H36" i="1"/>
  <c r="I36" i="1"/>
  <c r="J36" i="1"/>
  <c r="C37" i="1"/>
  <c r="C47" i="1"/>
  <c r="C48" i="1" s="1"/>
  <c r="D47" i="1"/>
  <c r="D50" i="1" s="1"/>
  <c r="E47" i="1"/>
  <c r="E50" i="1" s="1"/>
  <c r="F47" i="1"/>
  <c r="F48" i="1" s="1"/>
  <c r="G47" i="1"/>
  <c r="H47" i="1"/>
  <c r="I47" i="1"/>
  <c r="J47" i="1"/>
  <c r="D49" i="1"/>
  <c r="D53" i="1"/>
  <c r="C57" i="1"/>
  <c r="D57" i="1"/>
  <c r="E57" i="1"/>
  <c r="F57" i="1"/>
  <c r="C58" i="1"/>
  <c r="D58" i="1"/>
  <c r="E58" i="1"/>
  <c r="F58" i="1"/>
  <c r="C59" i="1"/>
  <c r="D59" i="1"/>
  <c r="E59" i="1"/>
  <c r="F59" i="1"/>
  <c r="C60" i="1"/>
  <c r="D60" i="1"/>
  <c r="E60" i="1"/>
  <c r="F60" i="1"/>
  <c r="C61" i="1"/>
  <c r="D61" i="1"/>
  <c r="E61" i="1"/>
  <c r="F61" i="1"/>
  <c r="C62" i="1"/>
  <c r="D62" i="1"/>
  <c r="E62" i="1"/>
  <c r="F62" i="1"/>
  <c r="C66" i="1"/>
  <c r="D66" i="1"/>
  <c r="E66" i="1"/>
  <c r="F66" i="1"/>
  <c r="C67" i="1"/>
  <c r="D67" i="1"/>
  <c r="E67" i="1"/>
  <c r="F67" i="1"/>
  <c r="C68" i="1"/>
  <c r="D68" i="1"/>
  <c r="E68" i="1"/>
  <c r="F68" i="1"/>
  <c r="C69" i="1"/>
  <c r="D69" i="1"/>
  <c r="E69" i="1"/>
  <c r="F69" i="1"/>
  <c r="C70" i="1"/>
  <c r="D70" i="1"/>
  <c r="E70" i="1"/>
  <c r="F70" i="1"/>
  <c r="C71" i="1"/>
  <c r="D71" i="1"/>
  <c r="E71" i="1"/>
  <c r="F71" i="1"/>
  <c r="C77" i="1"/>
  <c r="D77" i="1"/>
  <c r="E77" i="1"/>
  <c r="F77" i="1"/>
  <c r="C78" i="1"/>
  <c r="D78" i="1"/>
  <c r="E78" i="1"/>
  <c r="F78" i="1"/>
  <c r="C79" i="1"/>
  <c r="D79" i="1"/>
  <c r="E79" i="1"/>
  <c r="F79" i="1"/>
  <c r="C80" i="1"/>
  <c r="D80" i="1"/>
  <c r="E80" i="1"/>
  <c r="F80" i="1"/>
  <c r="C81" i="1"/>
  <c r="D81" i="1"/>
  <c r="E81" i="1"/>
  <c r="F81" i="1"/>
  <c r="C82" i="1"/>
  <c r="D82" i="1"/>
  <c r="E82" i="1"/>
  <c r="F82" i="1"/>
  <c r="C89" i="1"/>
  <c r="D89" i="1"/>
  <c r="E89" i="1"/>
  <c r="F89" i="1"/>
  <c r="C90" i="1"/>
  <c r="D90" i="1"/>
  <c r="E90" i="1"/>
  <c r="F90" i="1"/>
  <c r="C91" i="1"/>
  <c r="D91" i="1"/>
  <c r="E91" i="1"/>
  <c r="F91" i="1"/>
  <c r="C92" i="1"/>
  <c r="D92" i="1"/>
  <c r="E92" i="1"/>
  <c r="F92" i="1"/>
  <c r="C93" i="1"/>
  <c r="D93" i="1"/>
  <c r="E93" i="1"/>
  <c r="F93" i="1"/>
  <c r="C94" i="1"/>
  <c r="D94" i="1"/>
  <c r="E94" i="1"/>
  <c r="F94" i="1"/>
  <c r="C98" i="1"/>
  <c r="D98" i="1"/>
  <c r="E98" i="1"/>
  <c r="F98" i="1"/>
  <c r="C99" i="1"/>
  <c r="D99" i="1"/>
  <c r="E99" i="1"/>
  <c r="F99" i="1"/>
  <c r="C100" i="1"/>
  <c r="D100" i="1"/>
  <c r="E100" i="1"/>
  <c r="F100" i="1"/>
  <c r="C101" i="1"/>
  <c r="D101" i="1"/>
  <c r="E101" i="1"/>
  <c r="F101" i="1"/>
  <c r="C102" i="1"/>
  <c r="D102" i="1"/>
  <c r="E102" i="1"/>
  <c r="F102" i="1"/>
  <c r="C103" i="1"/>
  <c r="D103" i="1"/>
  <c r="E103" i="1"/>
  <c r="F103" i="1"/>
  <c r="C107" i="1"/>
  <c r="D107" i="1"/>
  <c r="E107" i="1"/>
  <c r="F107" i="1"/>
  <c r="C108" i="1"/>
  <c r="D108" i="1"/>
  <c r="E108" i="1"/>
  <c r="F108" i="1"/>
  <c r="C109" i="1"/>
  <c r="D109" i="1"/>
  <c r="E109" i="1"/>
  <c r="F109" i="1"/>
  <c r="C110" i="1"/>
  <c r="D110" i="1"/>
  <c r="E110" i="1"/>
  <c r="F110" i="1"/>
  <c r="C111" i="1"/>
  <c r="D111" i="1"/>
  <c r="E111" i="1"/>
  <c r="F111" i="1"/>
  <c r="C112" i="1"/>
  <c r="D112" i="1"/>
  <c r="E112" i="1"/>
  <c r="F112" i="1"/>
  <c r="C116" i="1"/>
  <c r="D116" i="1"/>
  <c r="E116" i="1"/>
  <c r="F116" i="1"/>
  <c r="C117" i="1"/>
  <c r="D117" i="1"/>
  <c r="E117" i="1"/>
  <c r="F117" i="1"/>
  <c r="C118" i="1"/>
  <c r="D118" i="1"/>
  <c r="E118" i="1"/>
  <c r="F118" i="1"/>
  <c r="C119" i="1"/>
  <c r="D119" i="1"/>
  <c r="E119" i="1"/>
  <c r="F119" i="1"/>
  <c r="C120" i="1"/>
  <c r="D120" i="1"/>
  <c r="E120" i="1"/>
  <c r="F120" i="1"/>
  <c r="C121" i="1"/>
  <c r="D121" i="1"/>
  <c r="E121" i="1"/>
  <c r="F121" i="1"/>
  <c r="E129" i="1"/>
  <c r="F129" i="1"/>
  <c r="E130" i="1"/>
  <c r="F130" i="1"/>
  <c r="E131" i="1"/>
  <c r="F131" i="1"/>
  <c r="E132" i="1"/>
  <c r="F132" i="1"/>
  <c r="E133" i="1"/>
  <c r="F133" i="1"/>
  <c r="E134" i="1"/>
  <c r="F134" i="1"/>
  <c r="E143" i="1"/>
  <c r="F143" i="1"/>
  <c r="E144" i="1"/>
  <c r="F144" i="1"/>
  <c r="E145" i="1"/>
  <c r="F145" i="1"/>
  <c r="E146" i="1"/>
  <c r="F146" i="1"/>
  <c r="E147" i="1"/>
  <c r="F147" i="1"/>
  <c r="E148" i="1"/>
  <c r="F148" i="1"/>
  <c r="J151" i="1"/>
  <c r="E152" i="1"/>
  <c r="F152" i="1"/>
  <c r="E153" i="1"/>
  <c r="F153" i="1"/>
  <c r="E154" i="1"/>
  <c r="F154" i="1"/>
  <c r="E155" i="1"/>
  <c r="F155" i="1"/>
  <c r="E156" i="1"/>
  <c r="F156" i="1"/>
  <c r="E157" i="1"/>
  <c r="F157" i="1"/>
  <c r="J160" i="1"/>
  <c r="E161" i="1"/>
  <c r="F161" i="1"/>
  <c r="E162" i="1"/>
  <c r="F162" i="1"/>
  <c r="E163" i="1"/>
  <c r="F163" i="1"/>
  <c r="E164" i="1"/>
  <c r="F164" i="1"/>
  <c r="E165" i="1"/>
  <c r="F165" i="1"/>
  <c r="E166" i="1"/>
  <c r="F166" i="1"/>
  <c r="J175" i="1"/>
  <c r="E176" i="1"/>
  <c r="F176" i="1"/>
  <c r="E177" i="1"/>
  <c r="F177" i="1"/>
  <c r="E178" i="1"/>
  <c r="F178" i="1"/>
  <c r="E179" i="1"/>
  <c r="F179" i="1"/>
  <c r="E180" i="1"/>
  <c r="F180" i="1"/>
  <c r="E181" i="1"/>
  <c r="F181" i="1"/>
  <c r="J184" i="1"/>
  <c r="E185" i="1"/>
  <c r="F185" i="1"/>
  <c r="E186" i="1"/>
  <c r="F186" i="1"/>
  <c r="E187" i="1"/>
  <c r="F187" i="1"/>
  <c r="E188" i="1"/>
  <c r="F188" i="1"/>
  <c r="E189" i="1"/>
  <c r="F189" i="1"/>
  <c r="E190" i="1"/>
  <c r="F190" i="1"/>
  <c r="J193" i="1"/>
  <c r="E194" i="1"/>
  <c r="F194" i="1"/>
  <c r="E195" i="1"/>
  <c r="F195" i="1"/>
  <c r="E196" i="1"/>
  <c r="F196" i="1"/>
  <c r="E197" i="1"/>
  <c r="F197" i="1"/>
  <c r="E198" i="1"/>
  <c r="F198" i="1"/>
  <c r="E199" i="1"/>
  <c r="F199" i="1"/>
  <c r="J202" i="1"/>
  <c r="E203" i="1"/>
  <c r="F203" i="1"/>
  <c r="E204" i="1"/>
  <c r="F204" i="1"/>
  <c r="E205" i="1"/>
  <c r="F205" i="1"/>
  <c r="E206" i="1"/>
  <c r="F206" i="1"/>
  <c r="E207" i="1"/>
  <c r="F207" i="1"/>
  <c r="E208" i="1"/>
  <c r="F208" i="1"/>
  <c r="J250" i="1"/>
  <c r="J259" i="1"/>
  <c r="H268" i="1"/>
  <c r="I268" i="1" s="1"/>
  <c r="J268" i="1" s="1"/>
  <c r="J300" i="1"/>
  <c r="F301" i="1"/>
  <c r="F302" i="1"/>
  <c r="F303" i="1"/>
  <c r="F304" i="1"/>
  <c r="F305" i="1"/>
  <c r="F306" i="1"/>
  <c r="D52" i="1" l="1"/>
  <c r="D48" i="1"/>
  <c r="D51" i="1"/>
  <c r="X117" i="1"/>
  <c r="O243" i="1"/>
  <c r="X240" i="1"/>
  <c r="S240" i="1"/>
  <c r="S120" i="1"/>
  <c r="T77" i="1"/>
  <c r="X121" i="1"/>
  <c r="N79" i="1"/>
  <c r="T244" i="1"/>
  <c r="S116" i="1"/>
  <c r="T81" i="1"/>
  <c r="C50" i="1"/>
  <c r="F20" i="1"/>
  <c r="C52" i="1"/>
  <c r="C53" i="1"/>
  <c r="C51" i="1"/>
  <c r="C49" i="1"/>
  <c r="F18" i="1"/>
  <c r="W240" i="1"/>
  <c r="S243" i="1"/>
  <c r="X244" i="1"/>
  <c r="W116" i="1"/>
  <c r="Q118" i="1"/>
  <c r="W120" i="1"/>
  <c r="X77" i="1"/>
  <c r="R79" i="1"/>
  <c r="X81" i="1"/>
  <c r="Q241" i="1"/>
  <c r="W243" i="1"/>
  <c r="Q245" i="1"/>
  <c r="P117" i="1"/>
  <c r="U118" i="1"/>
  <c r="P121" i="1"/>
  <c r="Q78" i="1"/>
  <c r="V79" i="1"/>
  <c r="Q82" i="1"/>
  <c r="E51" i="1"/>
  <c r="O240" i="1"/>
  <c r="U241" i="1"/>
  <c r="P244" i="1"/>
  <c r="U245" i="1"/>
  <c r="O116" i="1"/>
  <c r="T117" i="1"/>
  <c r="O120" i="1"/>
  <c r="T121" i="1"/>
  <c r="P77" i="1"/>
  <c r="U78" i="1"/>
  <c r="P81" i="1"/>
  <c r="U82" i="1"/>
  <c r="R133" i="1"/>
  <c r="N242" i="1"/>
  <c r="N119" i="1"/>
  <c r="S80" i="1"/>
  <c r="E52" i="1"/>
  <c r="E48" i="1"/>
  <c r="P240" i="1"/>
  <c r="T240" i="1"/>
  <c r="N241" i="1"/>
  <c r="R241" i="1"/>
  <c r="V241" i="1"/>
  <c r="O242" i="1"/>
  <c r="S242" i="1"/>
  <c r="W242" i="1"/>
  <c r="P243" i="1"/>
  <c r="T243" i="1"/>
  <c r="X243" i="1"/>
  <c r="Q244" i="1"/>
  <c r="U244" i="1"/>
  <c r="N245" i="1"/>
  <c r="R245" i="1"/>
  <c r="V245" i="1"/>
  <c r="P116" i="1"/>
  <c r="T116" i="1"/>
  <c r="X116" i="1"/>
  <c r="Q117" i="1"/>
  <c r="U117" i="1"/>
  <c r="N118" i="1"/>
  <c r="R118" i="1"/>
  <c r="V118" i="1"/>
  <c r="O119" i="1"/>
  <c r="S119" i="1"/>
  <c r="W119" i="1"/>
  <c r="P120" i="1"/>
  <c r="T120" i="1"/>
  <c r="X120" i="1"/>
  <c r="Q121" i="1"/>
  <c r="U121" i="1"/>
  <c r="Q77" i="1"/>
  <c r="U77" i="1"/>
  <c r="N78" i="1"/>
  <c r="R78" i="1"/>
  <c r="V78" i="1"/>
  <c r="O79" i="1"/>
  <c r="S79" i="1"/>
  <c r="W79" i="1"/>
  <c r="P80" i="1"/>
  <c r="T80" i="1"/>
  <c r="X80" i="1"/>
  <c r="Q81" i="1"/>
  <c r="U81" i="1"/>
  <c r="N82" i="1"/>
  <c r="R82" i="1"/>
  <c r="V82" i="1"/>
  <c r="V242" i="1"/>
  <c r="R119" i="1"/>
  <c r="E53" i="1"/>
  <c r="E49" i="1"/>
  <c r="E16" i="1"/>
  <c r="Q130" i="1"/>
  <c r="Q240" i="1"/>
  <c r="U240" i="1"/>
  <c r="O241" i="1"/>
  <c r="S241" i="1"/>
  <c r="W241" i="1"/>
  <c r="P242" i="1"/>
  <c r="T242" i="1"/>
  <c r="X242" i="1"/>
  <c r="Q243" i="1"/>
  <c r="U243" i="1"/>
  <c r="N244" i="1"/>
  <c r="R244" i="1"/>
  <c r="V244" i="1"/>
  <c r="O245" i="1"/>
  <c r="S245" i="1"/>
  <c r="W245" i="1"/>
  <c r="Q116" i="1"/>
  <c r="U116" i="1"/>
  <c r="N117" i="1"/>
  <c r="R117" i="1"/>
  <c r="V117" i="1"/>
  <c r="O118" i="1"/>
  <c r="S118" i="1"/>
  <c r="W118" i="1"/>
  <c r="P119" i="1"/>
  <c r="T119" i="1"/>
  <c r="X119" i="1"/>
  <c r="Q120" i="1"/>
  <c r="U120" i="1"/>
  <c r="N121" i="1"/>
  <c r="R121" i="1"/>
  <c r="V121" i="1"/>
  <c r="R77" i="1"/>
  <c r="V77" i="1"/>
  <c r="O78" i="1"/>
  <c r="S78" i="1"/>
  <c r="W78" i="1"/>
  <c r="P79" i="1"/>
  <c r="T79" i="1"/>
  <c r="X79" i="1"/>
  <c r="Q80" i="1"/>
  <c r="U80" i="1"/>
  <c r="N81" i="1"/>
  <c r="R81" i="1"/>
  <c r="V81" i="1"/>
  <c r="O82" i="1"/>
  <c r="S82" i="1"/>
  <c r="W82" i="1"/>
  <c r="R242" i="1"/>
  <c r="V119" i="1"/>
  <c r="O80" i="1"/>
  <c r="W80" i="1"/>
  <c r="O132" i="1"/>
  <c r="N240" i="1"/>
  <c r="R240" i="1"/>
  <c r="P241" i="1"/>
  <c r="T241" i="1"/>
  <c r="Q242" i="1"/>
  <c r="N243" i="1"/>
  <c r="R243" i="1"/>
  <c r="O244" i="1"/>
  <c r="S244" i="1"/>
  <c r="P245" i="1"/>
  <c r="T245" i="1"/>
  <c r="N116" i="1"/>
  <c r="R116" i="1"/>
  <c r="O117" i="1"/>
  <c r="S117" i="1"/>
  <c r="P118" i="1"/>
  <c r="T118" i="1"/>
  <c r="Q119" i="1"/>
  <c r="N120" i="1"/>
  <c r="R120" i="1"/>
  <c r="O121" i="1"/>
  <c r="S121" i="1"/>
  <c r="O77" i="1"/>
  <c r="S77" i="1"/>
  <c r="W77" i="1"/>
  <c r="P78" i="1"/>
  <c r="T78" i="1"/>
  <c r="Q79" i="1"/>
  <c r="N80" i="1"/>
  <c r="R80" i="1"/>
  <c r="O81" i="1"/>
  <c r="S81" i="1"/>
  <c r="P82" i="1"/>
  <c r="T82" i="1"/>
  <c r="N129" i="1"/>
  <c r="V129" i="1"/>
  <c r="R130" i="1"/>
  <c r="S132" i="1"/>
  <c r="V133" i="1"/>
  <c r="S129" i="1"/>
  <c r="O129" i="1"/>
  <c r="W129" i="1"/>
  <c r="U130" i="1"/>
  <c r="N130" i="1"/>
  <c r="V130" i="1"/>
  <c r="F53" i="1"/>
  <c r="F52" i="1"/>
  <c r="F51" i="1"/>
  <c r="F50" i="1"/>
  <c r="F49" i="1"/>
  <c r="C15" i="1"/>
  <c r="T131" i="1"/>
  <c r="U134" i="1"/>
  <c r="Q131" i="1"/>
  <c r="T132" i="1"/>
  <c r="X132" i="1"/>
  <c r="S133" i="1"/>
  <c r="W133" i="1"/>
  <c r="R134" i="1"/>
  <c r="E37" i="1"/>
  <c r="F16" i="1"/>
  <c r="P129" i="1"/>
  <c r="T129" i="1"/>
  <c r="X129" i="1"/>
  <c r="O130" i="1"/>
  <c r="S130" i="1"/>
  <c r="W130" i="1"/>
  <c r="N131" i="1"/>
  <c r="R131" i="1"/>
  <c r="V131" i="1"/>
  <c r="Q132" i="1"/>
  <c r="U132" i="1"/>
  <c r="P133" i="1"/>
  <c r="T133" i="1"/>
  <c r="X133" i="1"/>
  <c r="O134" i="1"/>
  <c r="S134" i="1"/>
  <c r="W134" i="1"/>
  <c r="P131" i="1"/>
  <c r="X131" i="1"/>
  <c r="Q134" i="1"/>
  <c r="U131" i="1"/>
  <c r="P132" i="1"/>
  <c r="O133" i="1"/>
  <c r="N134" i="1"/>
  <c r="V134" i="1"/>
  <c r="Q129" i="1"/>
  <c r="U129" i="1"/>
  <c r="P130" i="1"/>
  <c r="T130" i="1"/>
  <c r="O131" i="1"/>
  <c r="S131" i="1"/>
  <c r="N132" i="1"/>
  <c r="R132" i="1"/>
  <c r="V132" i="1"/>
  <c r="Q133" i="1"/>
  <c r="U133" i="1"/>
  <c r="P134" i="1"/>
  <c r="T134" i="1"/>
  <c r="E18" i="1"/>
  <c r="E15" i="1"/>
  <c r="C41" i="1"/>
  <c r="E20" i="1"/>
  <c r="E17" i="1"/>
  <c r="C40" i="1"/>
  <c r="C39" i="1"/>
  <c r="C42" i="1"/>
  <c r="F19" i="1"/>
  <c r="F17" i="1"/>
  <c r="D37" i="1"/>
  <c r="D20" i="1"/>
  <c r="D18" i="1"/>
  <c r="D16" i="1"/>
  <c r="C20" i="1"/>
  <c r="C19" i="1"/>
  <c r="C18" i="1"/>
  <c r="C17" i="1"/>
  <c r="D19" i="1"/>
  <c r="D17" i="1"/>
  <c r="D42" i="1"/>
  <c r="D40" i="1"/>
  <c r="D38" i="1"/>
  <c r="D41" i="1"/>
  <c r="F42" i="1"/>
  <c r="F41" i="1"/>
  <c r="F40" i="1"/>
  <c r="F38" i="1"/>
  <c r="E42" i="1"/>
  <c r="E41" i="1"/>
  <c r="E40" i="1"/>
  <c r="E39" i="1"/>
  <c r="F39" i="1"/>
  <c r="D19" i="6" l="1"/>
  <c r="F19" i="6" s="1"/>
  <c r="D21" i="6" l="1"/>
  <c r="F21" i="6" s="1"/>
  <c r="F17" i="6"/>
  <c r="D20" i="6"/>
  <c r="F20" i="6" s="1"/>
  <c r="D22" i="6"/>
  <c r="F22" i="6" s="1"/>
  <c r="D18" i="6"/>
  <c r="F18" i="6" s="1"/>
  <c r="D15" i="6" l="1"/>
</calcChain>
</file>

<file path=xl/sharedStrings.xml><?xml version="1.0" encoding="utf-8"?>
<sst xmlns="http://schemas.openxmlformats.org/spreadsheetml/2006/main" count="1370" uniqueCount="379">
  <si>
    <t>pup</t>
  </si>
  <si>
    <t>min</t>
  </si>
  <si>
    <t>kad</t>
  </si>
  <si>
    <t>sch</t>
  </si>
  <si>
    <t>sen</t>
  </si>
  <si>
    <t>mas</t>
  </si>
  <si>
    <t>mas+</t>
  </si>
  <si>
    <t>mas++</t>
  </si>
  <si>
    <t>100 m Heren</t>
  </si>
  <si>
    <t>Record</t>
  </si>
  <si>
    <t>IAAF</t>
  </si>
  <si>
    <t>Coëf 5000</t>
  </si>
  <si>
    <t>6ptn</t>
  </si>
  <si>
    <t>100 mdam</t>
  </si>
  <si>
    <t xml:space="preserve"> </t>
  </si>
  <si>
    <t>200mHer</t>
  </si>
  <si>
    <t>200m Dam</t>
  </si>
  <si>
    <t>300 m dam</t>
  </si>
  <si>
    <t>1,07,19</t>
  </si>
  <si>
    <t>300 m Her</t>
  </si>
  <si>
    <t>400m Dam</t>
  </si>
  <si>
    <t>1,09,50</t>
  </si>
  <si>
    <t>1,02,16</t>
  </si>
  <si>
    <t>1,01,88</t>
  </si>
  <si>
    <t>1,01,06</t>
  </si>
  <si>
    <t>1,07,50</t>
  </si>
  <si>
    <t>1,13,15</t>
  </si>
  <si>
    <t>0,58,53</t>
  </si>
  <si>
    <t>600 m Her</t>
  </si>
  <si>
    <t>1,42,61</t>
  </si>
  <si>
    <t>1,28,27</t>
  </si>
  <si>
    <t>1,27,27</t>
  </si>
  <si>
    <t>1,24,27</t>
  </si>
  <si>
    <t>1,34,05</t>
  </si>
  <si>
    <t>1,34,52</t>
  </si>
  <si>
    <t>1,44,57</t>
  </si>
  <si>
    <t>1,43,57</t>
  </si>
  <si>
    <t>1,49,35</t>
  </si>
  <si>
    <t>1,49,60</t>
  </si>
  <si>
    <t>1,55,51</t>
  </si>
  <si>
    <t>1,38,86</t>
  </si>
  <si>
    <t>1,45,58</t>
  </si>
  <si>
    <t>1,45,91</t>
  </si>
  <si>
    <t>1,52,84</t>
  </si>
  <si>
    <t>1,34,64</t>
  </si>
  <si>
    <t>1,42,26</t>
  </si>
  <si>
    <t>1,42,60</t>
  </si>
  <si>
    <t>1,50,44</t>
  </si>
  <si>
    <t>1,30,76</t>
  </si>
  <si>
    <t>1,39,20</t>
  </si>
  <si>
    <t>1,39,59</t>
  </si>
  <si>
    <t>1,48,30</t>
  </si>
  <si>
    <t>1,27,26</t>
  </si>
  <si>
    <t>1,36,41</t>
  </si>
  <si>
    <t>1,36,85</t>
  </si>
  <si>
    <t>1,46,29</t>
  </si>
  <si>
    <t>1,23,87</t>
  </si>
  <si>
    <t>1,33,72</t>
  </si>
  <si>
    <t>1,34,23</t>
  </si>
  <si>
    <t>1,44,38</t>
  </si>
  <si>
    <t>600 m Dam</t>
  </si>
  <si>
    <t>1,47,46</t>
  </si>
  <si>
    <t>1,49,0</t>
  </si>
  <si>
    <t>1,43,10</t>
  </si>
  <si>
    <t>1,57,94</t>
  </si>
  <si>
    <t>1,59,97</t>
  </si>
  <si>
    <t>2,30,24</t>
  </si>
  <si>
    <t>2,31,94</t>
  </si>
  <si>
    <t>2,40,35</t>
  </si>
  <si>
    <t>2,24,43</t>
  </si>
  <si>
    <t>2,26,43</t>
  </si>
  <si>
    <t>2,36,30</t>
  </si>
  <si>
    <t>2,19,25</t>
  </si>
  <si>
    <t>2,21,44</t>
  </si>
  <si>
    <t>2,32,61</t>
  </si>
  <si>
    <t>2,14,50</t>
  </si>
  <si>
    <t>2,16,93</t>
  </si>
  <si>
    <t>2,29,30</t>
  </si>
  <si>
    <t>2,10,17</t>
  </si>
  <si>
    <t>2,12,81</t>
  </si>
  <si>
    <t>2,26,29</t>
  </si>
  <si>
    <t>2,05,98</t>
  </si>
  <si>
    <t>2,08,85</t>
  </si>
  <si>
    <t>2,23,36</t>
  </si>
  <si>
    <t>1500 m Dam</t>
  </si>
  <si>
    <t>5,11,16</t>
  </si>
  <si>
    <t>5,44,18</t>
  </si>
  <si>
    <t>5,02,44</t>
  </si>
  <si>
    <t>4,53,64</t>
  </si>
  <si>
    <t>4,38,6</t>
  </si>
  <si>
    <t>1 Mijl  Her</t>
  </si>
  <si>
    <t>4,52,36</t>
  </si>
  <si>
    <t>5,24,84</t>
  </si>
  <si>
    <t>4,41,62</t>
  </si>
  <si>
    <t>4,41,9</t>
  </si>
  <si>
    <t>4,19,5</t>
  </si>
  <si>
    <t>4,41,15</t>
  </si>
  <si>
    <t>5,29,79</t>
  </si>
  <si>
    <t>5,36,55</t>
  </si>
  <si>
    <t>5,43,18</t>
  </si>
  <si>
    <t>6,02,16</t>
  </si>
  <si>
    <t>5,08,11</t>
  </si>
  <si>
    <t>5,23,01</t>
  </si>
  <si>
    <t>5,30,77</t>
  </si>
  <si>
    <t>5,53,21</t>
  </si>
  <si>
    <t>4,53,98</t>
  </si>
  <si>
    <t>5,10,95</t>
  </si>
  <si>
    <t>5,19,66</t>
  </si>
  <si>
    <t>5,44,99</t>
  </si>
  <si>
    <t>4,41,13</t>
  </si>
  <si>
    <t>4,59,90</t>
  </si>
  <si>
    <t>5,09,59</t>
  </si>
  <si>
    <t>5,37,47</t>
  </si>
  <si>
    <t>4,29,50</t>
  </si>
  <si>
    <t>4,49,82</t>
  </si>
  <si>
    <t>5,00,27</t>
  </si>
  <si>
    <t>5,30,60</t>
  </si>
  <si>
    <t>4,18,18</t>
  </si>
  <si>
    <t>4,40,07</t>
  </si>
  <si>
    <t>4,51,42</t>
  </si>
  <si>
    <t>5,24,10</t>
  </si>
  <si>
    <t>1 Mijl dam</t>
  </si>
  <si>
    <t>5,45,49</t>
  </si>
  <si>
    <t>6,23,88</t>
  </si>
  <si>
    <t>5,32,45</t>
  </si>
  <si>
    <t>5,19,2</t>
  </si>
  <si>
    <t>4,58,50</t>
  </si>
  <si>
    <t>5,42,07</t>
  </si>
  <si>
    <t>2000 m Her</t>
  </si>
  <si>
    <t>6,09,20</t>
  </si>
  <si>
    <t>6,50,22</t>
  </si>
  <si>
    <t>6,11,00</t>
  </si>
  <si>
    <t>5,57,5</t>
  </si>
  <si>
    <t>5,27,1</t>
  </si>
  <si>
    <t>5,55,29</t>
  </si>
  <si>
    <t>2000 m Dam</t>
  </si>
  <si>
    <t>7,04,93</t>
  </si>
  <si>
    <t>7,52,14</t>
  </si>
  <si>
    <t>7,23,41</t>
  </si>
  <si>
    <t>7,09,87</t>
  </si>
  <si>
    <t>6,41,40</t>
  </si>
  <si>
    <t>3000 m Her</t>
  </si>
  <si>
    <t>9,21,83</t>
  </si>
  <si>
    <t>10,24,26</t>
  </si>
  <si>
    <t>10,08,69</t>
  </si>
  <si>
    <t>9,17,6</t>
  </si>
  <si>
    <t>8,18,4</t>
  </si>
  <si>
    <t>9,01,87</t>
  </si>
  <si>
    <t>10,39,38</t>
  </si>
  <si>
    <t>11,05,20</t>
  </si>
  <si>
    <t>11,16,82</t>
  </si>
  <si>
    <t>11,53,70</t>
  </si>
  <si>
    <t>10,05,02</t>
  </si>
  <si>
    <t>10,35,15</t>
  </si>
  <si>
    <t>10,48,87</t>
  </si>
  <si>
    <t>11,31,80</t>
  </si>
  <si>
    <t>9,34,15</t>
  </si>
  <si>
    <t>10,07,91</t>
  </si>
  <si>
    <t>10,23,50</t>
  </si>
  <si>
    <t>11,12,37</t>
  </si>
  <si>
    <t>9,05,88</t>
  </si>
  <si>
    <t>9,43,31</t>
  </si>
  <si>
    <t>10,00,62</t>
  </si>
  <si>
    <t>10,54,64</t>
  </si>
  <si>
    <t>8,40,10</t>
  </si>
  <si>
    <t>9,20,86</t>
  </si>
  <si>
    <t>9,39,75</t>
  </si>
  <si>
    <t>10,38,47</t>
  </si>
  <si>
    <t>8,15,36</t>
  </si>
  <si>
    <t>8,59,28</t>
  </si>
  <si>
    <t>9,19,55</t>
  </si>
  <si>
    <t>10,22,93</t>
  </si>
  <si>
    <t>3000 m dam</t>
  </si>
  <si>
    <t>10,54,97</t>
  </si>
  <si>
    <t>12,07,74</t>
  </si>
  <si>
    <t>11,18,22</t>
  </si>
  <si>
    <t>10,30,60</t>
  </si>
  <si>
    <t>10,05,1</t>
  </si>
  <si>
    <t>2 mijl Her</t>
  </si>
  <si>
    <t>9,38,45</t>
  </si>
  <si>
    <t>9,55,65</t>
  </si>
  <si>
    <t>10,21,22</t>
  </si>
  <si>
    <t>11,44,33</t>
  </si>
  <si>
    <t>,</t>
  </si>
  <si>
    <t>2 mijl dam</t>
  </si>
  <si>
    <t>11,51,32</t>
  </si>
  <si>
    <t>13,08,75</t>
  </si>
  <si>
    <t>13,28,76</t>
  </si>
  <si>
    <t>14,12,74</t>
  </si>
  <si>
    <t>17,16,13</t>
  </si>
  <si>
    <t>16,31,79</t>
  </si>
  <si>
    <t>15,51,12</t>
  </si>
  <si>
    <t>15,14,76</t>
  </si>
  <si>
    <t>14,41,57</t>
  </si>
  <si>
    <t>14,09,29</t>
  </si>
  <si>
    <t>5000 m Dam</t>
  </si>
  <si>
    <t>19,12,88</t>
  </si>
  <si>
    <t>21,20,98</t>
  </si>
  <si>
    <t>17,54,50</t>
  </si>
  <si>
    <t>10000 m Her</t>
  </si>
  <si>
    <t>33,48,10</t>
  </si>
  <si>
    <t>37,33,44</t>
  </si>
  <si>
    <t>30,36,20</t>
  </si>
  <si>
    <t>10000 m Dam</t>
  </si>
  <si>
    <t>37,10,50</t>
  </si>
  <si>
    <t>41,18,33</t>
  </si>
  <si>
    <t>45,53,7</t>
  </si>
  <si>
    <t>48.38.90</t>
  </si>
  <si>
    <t>x1</t>
  </si>
  <si>
    <t xml:space="preserve">2000 m steeple  </t>
  </si>
  <si>
    <t>Dam Sen</t>
  </si>
  <si>
    <t>Dam mas+</t>
  </si>
  <si>
    <t>Dam mas++</t>
  </si>
  <si>
    <t>Her mas++</t>
  </si>
  <si>
    <t>9,18,40</t>
  </si>
  <si>
    <t>10,24,75</t>
  </si>
  <si>
    <t>7,58,84</t>
  </si>
  <si>
    <t xml:space="preserve">3000 m steeple Her </t>
  </si>
  <si>
    <t>9,35,6</t>
  </si>
  <si>
    <t>10,00,00</t>
  </si>
  <si>
    <t>10,56,95</t>
  </si>
  <si>
    <t>12,09,94</t>
  </si>
  <si>
    <t>400 m H Her</t>
  </si>
  <si>
    <t>110 m H Her</t>
  </si>
  <si>
    <t>1,03,56</t>
  </si>
  <si>
    <t>1,18,47</t>
  </si>
  <si>
    <t>1,18,04</t>
  </si>
  <si>
    <t>1,14,80</t>
  </si>
  <si>
    <t>1,11,89</t>
  </si>
  <si>
    <t>1,09,22</t>
  </si>
  <si>
    <t>1,06,81</t>
  </si>
  <si>
    <t>1,04,46</t>
  </si>
  <si>
    <t>M45</t>
  </si>
  <si>
    <t>M40</t>
  </si>
  <si>
    <t>M50</t>
  </si>
  <si>
    <t>M55</t>
  </si>
  <si>
    <t>M60</t>
  </si>
  <si>
    <t>M65</t>
  </si>
  <si>
    <t>M70</t>
  </si>
  <si>
    <t>M75</t>
  </si>
  <si>
    <t>M80</t>
  </si>
  <si>
    <t>M85</t>
  </si>
  <si>
    <t>M90</t>
  </si>
  <si>
    <t>Seniors</t>
  </si>
  <si>
    <t>WR</t>
  </si>
  <si>
    <t>100m</t>
  </si>
  <si>
    <t>200m</t>
  </si>
  <si>
    <t>400m</t>
  </si>
  <si>
    <t>800m</t>
  </si>
  <si>
    <t>1000m</t>
  </si>
  <si>
    <t>1500m</t>
  </si>
  <si>
    <t>1 mijl</t>
  </si>
  <si>
    <t>2000m</t>
  </si>
  <si>
    <t>3000m</t>
  </si>
  <si>
    <t>5000m</t>
  </si>
  <si>
    <t>400m Horden</t>
  </si>
  <si>
    <t>+4,0%</t>
  </si>
  <si>
    <t>Ver</t>
  </si>
  <si>
    <t>Hoog</t>
  </si>
  <si>
    <t>Hinkstap</t>
  </si>
  <si>
    <t>Piste Tijden en Punten - Voorstel 2022</t>
  </si>
  <si>
    <t>5000 m Heren</t>
  </si>
  <si>
    <t>1500 m Heren</t>
  </si>
  <si>
    <t>800 m Heren</t>
  </si>
  <si>
    <t>400m Heren</t>
  </si>
  <si>
    <t>coëfficiënt</t>
  </si>
  <si>
    <t>AVVV record</t>
  </si>
  <si>
    <t>11 punten =</t>
  </si>
  <si>
    <t xml:space="preserve">7  = </t>
  </si>
  <si>
    <t>6 =</t>
  </si>
  <si>
    <t>8 =</t>
  </si>
  <si>
    <t>9 =</t>
  </si>
  <si>
    <t>10 =</t>
  </si>
  <si>
    <t>Huidige WALO-punten</t>
  </si>
  <si>
    <t>Voorstel 2022</t>
  </si>
  <si>
    <t>Age-grading &gt;</t>
  </si>
  <si>
    <t>AVVV records</t>
  </si>
  <si>
    <t>600m</t>
  </si>
  <si>
    <t>300m horden</t>
  </si>
  <si>
    <t>150m</t>
  </si>
  <si>
    <t>200m horden</t>
  </si>
  <si>
    <t>Mannen</t>
  </si>
  <si>
    <t>Vrouwen</t>
  </si>
  <si>
    <t>300m</t>
  </si>
  <si>
    <t>2 mijl</t>
  </si>
  <si>
    <t>2000m steeple</t>
  </si>
  <si>
    <t>200m Horden</t>
  </si>
  <si>
    <t>300m Horden</t>
  </si>
  <si>
    <t>M95</t>
  </si>
  <si>
    <t>M100</t>
  </si>
  <si>
    <t>M35</t>
  </si>
  <si>
    <t>10000m</t>
  </si>
  <si>
    <t>2000m_St</t>
  </si>
  <si>
    <t>3000m_St</t>
  </si>
  <si>
    <t>200m_Hurdles</t>
  </si>
  <si>
    <t>300m_Hurdles</t>
  </si>
  <si>
    <t>400m_Hurdles</t>
  </si>
  <si>
    <t>High_Jump</t>
  </si>
  <si>
    <t>Long_Jump</t>
  </si>
  <si>
    <t>Triple_Jump</t>
  </si>
  <si>
    <t>Speer</t>
  </si>
  <si>
    <t>Kogel</t>
  </si>
  <si>
    <t>Discus</t>
  </si>
  <si>
    <t>100/110m Horden</t>
  </si>
  <si>
    <t>2000m/3000m steeple</t>
  </si>
  <si>
    <t>80/100m_Hurdles</t>
  </si>
  <si>
    <t>80/100m Horden</t>
  </si>
  <si>
    <t>300m/400m_Hurdles</t>
  </si>
  <si>
    <t>Leeftijd</t>
  </si>
  <si>
    <t>Discipline</t>
  </si>
  <si>
    <t>Prestatie</t>
  </si>
  <si>
    <t>Minuten</t>
  </si>
  <si>
    <t>Seconden</t>
  </si>
  <si>
    <t>Hondersten</t>
  </si>
  <si>
    <t>Categorie</t>
  </si>
  <si>
    <t>Volgnummer</t>
  </si>
  <si>
    <t>Punten</t>
  </si>
  <si>
    <t>11 punten</t>
  </si>
  <si>
    <t>10 punten</t>
  </si>
  <si>
    <t>9 punten</t>
  </si>
  <si>
    <t>8 punten</t>
  </si>
  <si>
    <t>7 punten</t>
  </si>
  <si>
    <t>6 punten</t>
  </si>
  <si>
    <t>V35</t>
  </si>
  <si>
    <t>V40</t>
  </si>
  <si>
    <t>V45</t>
  </si>
  <si>
    <t>V50</t>
  </si>
  <si>
    <t>V55</t>
  </si>
  <si>
    <t>V60</t>
  </si>
  <si>
    <t>V65</t>
  </si>
  <si>
    <t>V70</t>
  </si>
  <si>
    <t>V75</t>
  </si>
  <si>
    <t>V80</t>
  </si>
  <si>
    <t>V85</t>
  </si>
  <si>
    <t>V90</t>
  </si>
  <si>
    <t>V95</t>
  </si>
  <si>
    <t>V100</t>
  </si>
  <si>
    <t>M18 = AVVV Record Seniors</t>
  </si>
  <si>
    <t>110m</t>
  </si>
  <si>
    <t>Mannen - Loopnummers</t>
  </si>
  <si>
    <t>Vrouwen - Loopnummers</t>
  </si>
  <si>
    <t>Mannen - Kampnummers</t>
  </si>
  <si>
    <t>Vrouwen - Kampnummers</t>
  </si>
  <si>
    <t>Meters</t>
  </si>
  <si>
    <t>Centimeters</t>
  </si>
  <si>
    <t>WALO - Puntenberekening pistewedstrijden - Voorstel 2022</t>
  </si>
  <si>
    <t>Beveiliging = walo</t>
  </si>
  <si>
    <t>MANNEN</t>
  </si>
  <si>
    <t>VROUWEN</t>
  </si>
  <si>
    <t>300/400m Horden</t>
  </si>
  <si>
    <t>Aanpassingen bij de mannen loopnummers worden gekopieerd naar de vrouwen - loopnummers</t>
  </si>
  <si>
    <t>Aanpassingen bij de mannen kampnummers worden gekopieerd naar de vrouwen - kampnummers</t>
  </si>
  <si>
    <t>Bij de kampnummers staan de percentages op negatief omdat de afstand moet verkorten voor minder punten</t>
  </si>
  <si>
    <t>In het voorstel is een toenemende curve gebruikt:</t>
  </si>
  <si>
    <t>van 11 naar 10 punten = 4%</t>
  </si>
  <si>
    <t>van 10 naar 9 punten = 5%</t>
  </si>
  <si>
    <t>van 9 naar 8 punten = 6%</t>
  </si>
  <si>
    <t>van 8 naar 7 punten = 7%</t>
  </si>
  <si>
    <t>van 7 naar 5 punten = 8%</t>
  </si>
  <si>
    <t>Bedenkingen:</t>
  </si>
  <si>
    <t>Bij de werpnummers zijn de prestaties bij de 6 punten nog behoorlijk hoog.</t>
  </si>
  <si>
    <t>Mogelijk voorstel is om daarvoor de percentaties te verdubbelen:</t>
  </si>
  <si>
    <t>6 punten = 60%</t>
  </si>
  <si>
    <t>7 punten = 44%</t>
  </si>
  <si>
    <t>8 punten = 30 %</t>
  </si>
  <si>
    <t>9 punten = 18 %</t>
  </si>
  <si>
    <t>10 punten = 8 %</t>
  </si>
  <si>
    <t xml:space="preserve">Werwijze voor berekening van punten voor een prestatie: </t>
  </si>
  <si>
    <t>2. Lees de punten in het lichtblauwe veld</t>
  </si>
  <si>
    <t>3. Per informatie worden de punten en prestaties voor de geselecteerde discipline en categorie getoond</t>
  </si>
  <si>
    <t xml:space="preserve">1. Vul alle gele velden in (Bij discipline kan je kiezen uit een lijstje) </t>
  </si>
  <si>
    <t>Tijdens onze evaluatieperiode kunnen we "spelen" met de percentages:</t>
  </si>
  <si>
    <t>Dit lijkt niet nodig voor de springnummers</t>
  </si>
  <si>
    <t>Als we enkel de werpnummers willen aanpassen, zal ik de formules verder opsplitsen,</t>
  </si>
  <si>
    <t>M17</t>
  </si>
  <si>
    <t>V17</t>
  </si>
  <si>
    <t>In de donkerblauwe velden bij de mannen kunnen de percentages worden aangepast</t>
  </si>
  <si>
    <t>Aanpassingen op deze pagina worden automatisch aangepast op de pagine "Tabellen"</t>
  </si>
  <si>
    <t>Loopnummers mannen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</si>
</sst>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 _€_-;_-@_-"/>
    <numFmt numFmtId="165" formatCode="0.000"/>
    <numFmt numFmtId="166" formatCode="mm:ss.00"/>
    <numFmt numFmtId="167" formatCode="hh:mm:ss.00"/>
    <numFmt numFmtId="168" formatCode="h:mm:ss.00"/>
    <numFmt numFmtId="169" formatCode="ss.00"/>
    <numFmt numFmtId="170" formatCode="m:ss.00"/>
  </numFmts>
  <fonts count="17" x14ac:knownFonts="1">
    <font>
      <sz val="10"/>
      <name val="Arial"/>
      <family val="2"/>
    </font>
    <font>
      <sz val="11"/>
      <color theme="1"/>
      <name val="Calibri"/>
      <family val="2"/>
      <scheme val="minor"/>
    </font>
    <font>
      <b/>
      <u/>
      <sz val="14"/>
      <name val="Arial"/>
      <family val="2"/>
    </font>
    <font>
      <b/>
      <u/>
      <sz val="10"/>
      <name val="Arial"/>
      <family val="2"/>
    </font>
    <font>
      <sz val="10"/>
      <name val="Arial"/>
      <family val="2"/>
    </font>
    <font>
      <sz val="11"/>
      <color theme="1"/>
      <name val="Calibri"/>
      <family val="2"/>
      <scheme val="minor"/>
    </font>
    <font>
      <sz val="8"/>
      <name val="Arial"/>
      <family val="2"/>
    </font>
    <font>
      <b/>
      <sz val="10"/>
      <name val="Arial"/>
      <family val="2"/>
    </font>
    <font>
      <i/>
      <sz val="10"/>
      <name val="Arial"/>
      <family val="2"/>
    </font>
    <font>
      <b/>
      <i/>
      <sz val="10"/>
      <name val="Arial"/>
      <family val="2"/>
    </font>
    <font>
      <i/>
      <sz val="11"/>
      <color theme="1"/>
      <name val="Calibri"/>
      <family val="2"/>
      <scheme val="minor"/>
    </font>
    <font>
      <sz val="10"/>
      <color theme="0" tint="-0.34998626667073579"/>
      <name val="Arial"/>
      <family val="2"/>
    </font>
    <font>
      <sz val="10"/>
      <color theme="0"/>
      <name val="Arial"/>
      <family val="2"/>
    </font>
    <font>
      <b/>
      <sz val="16"/>
      <name val="Arial"/>
      <family val="2"/>
    </font>
    <font>
      <b/>
      <sz val="18"/>
      <name val="Arial"/>
      <family val="2"/>
    </font>
    <font>
      <i/>
      <sz val="11"/>
      <color theme="0"/>
      <name val="Calibri"/>
      <family val="2"/>
      <scheme val="minor"/>
    </font>
    <font>
      <sz val="10"/>
      <color theme="1"/>
      <name val="Arial"/>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70C0"/>
        <bgColor indexed="64"/>
      </patternFill>
    </fill>
    <fill>
      <patternFill patternType="solid">
        <fgColor rgb="FF00B0F0"/>
        <bgColor indexed="64"/>
      </patternFill>
    </fill>
    <fill>
      <patternFill patternType="solid">
        <fgColor theme="0" tint="-0.249977111117893"/>
        <bgColor indexed="64"/>
      </patternFill>
    </fill>
  </fills>
  <borders count="16">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FFFF"/>
      </left>
      <right style="medium">
        <color rgb="FFFFFFFF"/>
      </right>
      <top/>
      <bottom/>
      <diagonal/>
    </border>
  </borders>
  <cellStyleXfs count="4">
    <xf numFmtId="0" fontId="0" fillId="0" borderId="0"/>
    <xf numFmtId="164" fontId="4" fillId="0" borderId="0" applyFill="0" applyBorder="0" applyAlignment="0" applyProtection="0"/>
    <xf numFmtId="0" fontId="5" fillId="0" borderId="0"/>
    <xf numFmtId="0" fontId="1" fillId="0" borderId="0"/>
  </cellStyleXfs>
  <cellXfs count="182">
    <xf numFmtId="0" fontId="0" fillId="0" borderId="0" xfId="0"/>
    <xf numFmtId="0" fontId="2" fillId="0" borderId="0" xfId="0" applyFont="1"/>
    <xf numFmtId="0" fontId="3" fillId="0" borderId="0" xfId="0" applyFont="1" applyAlignment="1">
      <alignment horizontal="center"/>
    </xf>
    <xf numFmtId="0" fontId="3" fillId="0" borderId="0" xfId="0" applyFont="1" applyAlignment="1">
      <alignment horizontal="right"/>
    </xf>
    <xf numFmtId="0" fontId="3" fillId="0" borderId="0" xfId="0" applyFont="1"/>
    <xf numFmtId="164" fontId="0" fillId="0" borderId="0" xfId="1" applyFont="1" applyFill="1" applyBorder="1" applyAlignment="1" applyProtection="1"/>
    <xf numFmtId="0" fontId="0" fillId="0" borderId="0" xfId="0" applyAlignment="1">
      <alignment horizontal="right"/>
    </xf>
    <xf numFmtId="164" fontId="0" fillId="0" borderId="0" xfId="1" applyFont="1" applyFill="1" applyBorder="1" applyAlignment="1" applyProtection="1">
      <alignment horizontal="right"/>
    </xf>
    <xf numFmtId="2" fontId="0" fillId="0" borderId="0" xfId="0" applyNumberFormat="1"/>
    <xf numFmtId="164" fontId="3" fillId="0" borderId="0" xfId="1" applyFont="1" applyFill="1" applyBorder="1" applyAlignment="1" applyProtection="1">
      <alignment horizontal="center"/>
    </xf>
    <xf numFmtId="164" fontId="3" fillId="0" borderId="0" xfId="1" applyFont="1" applyFill="1" applyBorder="1" applyAlignment="1" applyProtection="1"/>
    <xf numFmtId="164" fontId="3" fillId="0" borderId="0" xfId="1" applyFont="1" applyFill="1" applyBorder="1" applyAlignment="1" applyProtection="1">
      <alignment horizontal="right"/>
    </xf>
    <xf numFmtId="47" fontId="0" fillId="0" borderId="0" xfId="0" applyNumberFormat="1" applyAlignment="1">
      <alignment horizontal="right"/>
    </xf>
    <xf numFmtId="0" fontId="5" fillId="0" borderId="0" xfId="2"/>
    <xf numFmtId="0" fontId="7" fillId="0" borderId="0" xfId="0" applyFont="1"/>
    <xf numFmtId="0" fontId="7" fillId="0" borderId="0" xfId="0" applyFont="1" applyAlignment="1">
      <alignment horizontal="right"/>
    </xf>
    <xf numFmtId="47" fontId="0" fillId="0" borderId="0" xfId="0" applyNumberFormat="1"/>
    <xf numFmtId="20" fontId="0" fillId="0" borderId="0" xfId="0" applyNumberFormat="1"/>
    <xf numFmtId="47" fontId="7" fillId="0" borderId="0" xfId="0" applyNumberFormat="1" applyFont="1"/>
    <xf numFmtId="47" fontId="7" fillId="0" borderId="0" xfId="0" applyNumberFormat="1" applyFont="1" applyAlignment="1">
      <alignment horizontal="right"/>
    </xf>
    <xf numFmtId="165" fontId="0" fillId="0" borderId="0" xfId="0" applyNumberFormat="1" applyAlignment="1">
      <alignment horizontal="right"/>
    </xf>
    <xf numFmtId="0" fontId="0" fillId="0" borderId="1" xfId="0" applyBorder="1" applyAlignment="1">
      <alignment horizontal="left" wrapText="1"/>
    </xf>
    <xf numFmtId="47" fontId="8" fillId="0" borderId="0" xfId="0" applyNumberFormat="1" applyFont="1"/>
    <xf numFmtId="47" fontId="8" fillId="0" borderId="0" xfId="0" applyNumberFormat="1" applyFont="1" applyAlignment="1">
      <alignment horizontal="right"/>
    </xf>
    <xf numFmtId="47" fontId="7" fillId="2" borderId="0" xfId="0" applyNumberFormat="1" applyFont="1" applyFill="1"/>
    <xf numFmtId="47" fontId="7" fillId="2" borderId="0" xfId="0" applyNumberFormat="1" applyFont="1" applyFill="1" applyAlignment="1">
      <alignment horizontal="right"/>
    </xf>
    <xf numFmtId="0" fontId="0" fillId="0" borderId="0" xfId="0" applyAlignment="1">
      <alignment horizontal="center"/>
    </xf>
    <xf numFmtId="165" fontId="0" fillId="0" borderId="0" xfId="0" applyNumberFormat="1" applyAlignment="1">
      <alignment horizontal="center"/>
    </xf>
    <xf numFmtId="165" fontId="3" fillId="0" borderId="0" xfId="0" applyNumberFormat="1" applyFont="1" applyAlignment="1">
      <alignment horizontal="center"/>
    </xf>
    <xf numFmtId="165" fontId="0" fillId="0" borderId="0" xfId="1" applyNumberFormat="1" applyFont="1" applyFill="1" applyBorder="1" applyAlignment="1" applyProtection="1">
      <alignment horizontal="center"/>
    </xf>
    <xf numFmtId="165" fontId="8" fillId="0" borderId="0" xfId="0" applyNumberFormat="1" applyFont="1" applyAlignment="1">
      <alignment horizontal="center"/>
    </xf>
    <xf numFmtId="165" fontId="7" fillId="0" borderId="0" xfId="0" applyNumberFormat="1" applyFont="1" applyAlignment="1">
      <alignment horizontal="center"/>
    </xf>
    <xf numFmtId="164" fontId="7" fillId="0" borderId="0" xfId="1" applyFont="1" applyFill="1" applyBorder="1" applyAlignment="1" applyProtection="1"/>
    <xf numFmtId="0" fontId="0" fillId="0" borderId="4" xfId="0" applyBorder="1"/>
    <xf numFmtId="0" fontId="3" fillId="0" borderId="4" xfId="0" applyFont="1" applyBorder="1" applyAlignment="1">
      <alignment horizontal="right"/>
    </xf>
    <xf numFmtId="0" fontId="3" fillId="0" borderId="4" xfId="0" applyFont="1" applyBorder="1"/>
    <xf numFmtId="164" fontId="0" fillId="0" borderId="4" xfId="1" applyFont="1" applyFill="1" applyBorder="1" applyAlignment="1" applyProtection="1"/>
    <xf numFmtId="164" fontId="0" fillId="0" borderId="4" xfId="1" applyFont="1" applyFill="1" applyBorder="1" applyAlignment="1" applyProtection="1">
      <alignment horizontal="right"/>
    </xf>
    <xf numFmtId="0" fontId="0" fillId="0" borderId="4" xfId="0" applyBorder="1" applyAlignment="1">
      <alignment horizontal="right"/>
    </xf>
    <xf numFmtId="47" fontId="0" fillId="0" borderId="4" xfId="0" applyNumberFormat="1" applyBorder="1"/>
    <xf numFmtId="0" fontId="7" fillId="0" borderId="4" xfId="0" applyFont="1" applyBorder="1"/>
    <xf numFmtId="0" fontId="8" fillId="0" borderId="4" xfId="0" applyFont="1" applyBorder="1"/>
    <xf numFmtId="0" fontId="7" fillId="0" borderId="4" xfId="0" applyFont="1" applyBorder="1" applyAlignment="1">
      <alignment horizontal="right"/>
    </xf>
    <xf numFmtId="0" fontId="5" fillId="0" borderId="4" xfId="2" applyBorder="1"/>
    <xf numFmtId="47" fontId="0" fillId="0" borderId="4" xfId="0" applyNumberFormat="1" applyBorder="1" applyAlignment="1">
      <alignment horizontal="right"/>
    </xf>
    <xf numFmtId="0" fontId="7" fillId="0" borderId="10" xfId="0" applyFont="1" applyBorder="1"/>
    <xf numFmtId="47" fontId="0" fillId="2" borderId="0" xfId="0" applyNumberFormat="1" applyFill="1" applyAlignment="1">
      <alignment horizontal="right"/>
    </xf>
    <xf numFmtId="47" fontId="0" fillId="2" borderId="0" xfId="0" applyNumberFormat="1" applyFill="1"/>
    <xf numFmtId="0" fontId="8" fillId="0" borderId="0" xfId="0" applyFont="1"/>
    <xf numFmtId="0" fontId="10" fillId="0" borderId="0" xfId="2" applyFont="1"/>
    <xf numFmtId="0" fontId="10" fillId="0" borderId="4" xfId="2" applyFont="1" applyBorder="1"/>
    <xf numFmtId="0" fontId="3" fillId="0" borderId="6" xfId="0" applyFont="1" applyBorder="1" applyAlignment="1">
      <alignment horizontal="center"/>
    </xf>
    <xf numFmtId="0" fontId="3" fillId="0" borderId="7" xfId="0" applyFont="1" applyBorder="1" applyAlignment="1">
      <alignment horizontal="center"/>
    </xf>
    <xf numFmtId="165" fontId="3" fillId="0" borderId="6" xfId="0" applyNumberFormat="1" applyFont="1" applyBorder="1" applyAlignment="1">
      <alignment horizontal="center"/>
    </xf>
    <xf numFmtId="0" fontId="3" fillId="0" borderId="7" xfId="0" applyFont="1" applyBorder="1"/>
    <xf numFmtId="165" fontId="3" fillId="0" borderId="6" xfId="0" applyNumberFormat="1" applyFont="1" applyBorder="1"/>
    <xf numFmtId="165" fontId="3" fillId="0" borderId="7" xfId="0" applyNumberFormat="1" applyFont="1" applyBorder="1"/>
    <xf numFmtId="165" fontId="3" fillId="0" borderId="8" xfId="0" applyNumberFormat="1" applyFont="1" applyBorder="1"/>
    <xf numFmtId="165" fontId="3" fillId="0" borderId="5" xfId="0" applyNumberFormat="1" applyFont="1" applyBorder="1" applyAlignment="1">
      <alignment horizontal="center"/>
    </xf>
    <xf numFmtId="165" fontId="9" fillId="0" borderId="5" xfId="0" applyNumberFormat="1" applyFont="1" applyBorder="1" applyAlignment="1">
      <alignment horizontal="center"/>
    </xf>
    <xf numFmtId="165" fontId="0" fillId="0" borderId="5" xfId="0" applyNumberFormat="1" applyBorder="1" applyAlignment="1">
      <alignment horizontal="center"/>
    </xf>
    <xf numFmtId="47" fontId="7" fillId="0" borderId="11" xfId="0" applyNumberFormat="1" applyFont="1" applyBorder="1"/>
    <xf numFmtId="47" fontId="7" fillId="0" borderId="11" xfId="0" applyNumberFormat="1" applyFont="1" applyBorder="1" applyAlignment="1">
      <alignment horizontal="right"/>
    </xf>
    <xf numFmtId="0" fontId="7" fillId="0" borderId="12" xfId="0" applyFont="1" applyBorder="1"/>
    <xf numFmtId="0" fontId="7" fillId="0" borderId="13" xfId="0" applyFont="1" applyBorder="1" applyAlignment="1">
      <alignment horizontal="right"/>
    </xf>
    <xf numFmtId="0" fontId="3" fillId="0" borderId="5" xfId="0" applyFont="1" applyBorder="1" applyAlignment="1">
      <alignment horizontal="center"/>
    </xf>
    <xf numFmtId="0" fontId="0" fillId="0" borderId="5" xfId="0" applyBorder="1" applyAlignment="1">
      <alignment horizontal="center"/>
    </xf>
    <xf numFmtId="164" fontId="0" fillId="0" borderId="0" xfId="1" applyFont="1" applyFill="1" applyBorder="1" applyAlignment="1" applyProtection="1">
      <alignment horizontal="center"/>
    </xf>
    <xf numFmtId="0" fontId="7" fillId="0" borderId="9" xfId="0" applyFont="1" applyBorder="1" applyAlignment="1">
      <alignment horizontal="center"/>
    </xf>
    <xf numFmtId="0" fontId="7" fillId="0" borderId="10" xfId="0" applyFont="1" applyBorder="1" applyAlignment="1">
      <alignment horizontal="center"/>
    </xf>
    <xf numFmtId="164" fontId="7" fillId="0" borderId="10" xfId="1" applyFont="1" applyFill="1" applyBorder="1" applyAlignment="1" applyProtection="1">
      <alignment horizontal="center"/>
    </xf>
    <xf numFmtId="0" fontId="7" fillId="0" borderId="5" xfId="0" applyFont="1" applyBorder="1" applyAlignment="1">
      <alignment horizontal="left"/>
    </xf>
    <xf numFmtId="0" fontId="0" fillId="0" borderId="0" xfId="0" applyAlignment="1">
      <alignment horizontal="left" wrapText="1"/>
    </xf>
    <xf numFmtId="0" fontId="0" fillId="0" borderId="1" xfId="0" applyBorder="1" applyAlignment="1">
      <alignment horizontal="left" vertical="center" readingOrder="1"/>
    </xf>
    <xf numFmtId="0" fontId="1" fillId="0" borderId="0" xfId="3"/>
    <xf numFmtId="2" fontId="0" fillId="0" borderId="1" xfId="0" applyNumberFormat="1" applyBorder="1" applyAlignment="1">
      <alignment horizontal="right" wrapText="1"/>
    </xf>
    <xf numFmtId="0" fontId="0" fillId="0" borderId="1" xfId="0" applyBorder="1" applyAlignment="1">
      <alignment horizontal="right" vertical="center" readingOrder="1"/>
    </xf>
    <xf numFmtId="166" fontId="0" fillId="0" borderId="1" xfId="0" applyNumberFormat="1" applyBorder="1" applyAlignment="1">
      <alignment horizontal="right" wrapText="1"/>
    </xf>
    <xf numFmtId="0" fontId="0" fillId="0" borderId="3" xfId="0" applyBorder="1" applyAlignment="1">
      <alignment horizontal="right" wrapText="1"/>
    </xf>
    <xf numFmtId="0" fontId="0" fillId="0" borderId="1" xfId="0" applyBorder="1" applyAlignment="1">
      <alignment horizontal="right" wrapText="1"/>
    </xf>
    <xf numFmtId="0" fontId="0" fillId="0" borderId="0" xfId="0" applyAlignment="1">
      <alignment horizontal="right" wrapText="1"/>
    </xf>
    <xf numFmtId="0" fontId="7" fillId="0" borderId="1" xfId="0" applyFont="1" applyBorder="1" applyAlignment="1">
      <alignment horizontal="right" wrapText="1"/>
    </xf>
    <xf numFmtId="0" fontId="7" fillId="0" borderId="1" xfId="0" applyFont="1" applyBorder="1" applyAlignment="1">
      <alignment horizontal="right" vertical="center" readingOrder="1"/>
    </xf>
    <xf numFmtId="167" fontId="0" fillId="0" borderId="1" xfId="0" applyNumberFormat="1" applyBorder="1" applyAlignment="1">
      <alignment horizontal="right" wrapText="1"/>
    </xf>
    <xf numFmtId="0" fontId="0" fillId="3" borderId="0" xfId="0" applyFill="1"/>
    <xf numFmtId="0" fontId="0" fillId="3" borderId="0" xfId="0" applyFill="1" applyAlignment="1">
      <alignment horizontal="right"/>
    </xf>
    <xf numFmtId="165" fontId="0" fillId="3" borderId="0" xfId="0" applyNumberFormat="1" applyFill="1" applyAlignment="1">
      <alignment horizontal="center"/>
    </xf>
    <xf numFmtId="49" fontId="0" fillId="3" borderId="0" xfId="0" applyNumberFormat="1" applyFill="1" applyAlignment="1">
      <alignment horizontal="left"/>
    </xf>
    <xf numFmtId="0" fontId="0" fillId="4" borderId="0" xfId="0" applyFill="1"/>
    <xf numFmtId="0" fontId="0" fillId="4" borderId="0" xfId="0" applyFill="1" applyAlignment="1">
      <alignment horizontal="right"/>
    </xf>
    <xf numFmtId="0" fontId="11" fillId="4" borderId="0" xfId="0" applyFont="1" applyFill="1"/>
    <xf numFmtId="166" fontId="0" fillId="4" borderId="0" xfId="0" applyNumberFormat="1" applyFill="1" applyAlignment="1">
      <alignment horizontal="right"/>
    </xf>
    <xf numFmtId="49" fontId="0" fillId="4" borderId="0" xfId="0" applyNumberFormat="1" applyFill="1"/>
    <xf numFmtId="47" fontId="0" fillId="4" borderId="0" xfId="0" applyNumberFormat="1" applyFill="1"/>
    <xf numFmtId="166" fontId="0" fillId="4" borderId="0" xfId="0" applyNumberFormat="1" applyFill="1"/>
    <xf numFmtId="49" fontId="0" fillId="4" borderId="0" xfId="0" applyNumberFormat="1" applyFill="1" applyAlignment="1">
      <alignment horizontal="right"/>
    </xf>
    <xf numFmtId="166" fontId="11" fillId="4" borderId="0" xfId="0" applyNumberFormat="1" applyFont="1" applyFill="1"/>
    <xf numFmtId="166" fontId="12" fillId="4" borderId="0" xfId="0" applyNumberFormat="1" applyFont="1" applyFill="1" applyAlignment="1">
      <alignment horizontal="right" wrapText="1"/>
    </xf>
    <xf numFmtId="0" fontId="0" fillId="5" borderId="14" xfId="0" applyFill="1" applyBorder="1" applyAlignment="1">
      <alignment horizontal="right"/>
    </xf>
    <xf numFmtId="166" fontId="0" fillId="5" borderId="14" xfId="0" applyNumberFormat="1" applyFill="1" applyBorder="1" applyAlignment="1">
      <alignment horizontal="right" wrapText="1"/>
    </xf>
    <xf numFmtId="9" fontId="12" fillId="6" borderId="0" xfId="0" applyNumberFormat="1" applyFont="1" applyFill="1"/>
    <xf numFmtId="0" fontId="14" fillId="7" borderId="14" xfId="0" applyFont="1" applyFill="1" applyBorder="1"/>
    <xf numFmtId="0" fontId="0" fillId="0" borderId="0" xfId="0" applyAlignment="1">
      <alignment horizontal="left" indent="1"/>
    </xf>
    <xf numFmtId="0" fontId="0" fillId="0" borderId="0" xfId="0" applyAlignment="1">
      <alignment horizontal="right" indent="1"/>
    </xf>
    <xf numFmtId="0" fontId="7" fillId="0" borderId="0" xfId="0" applyFont="1" applyAlignment="1">
      <alignment horizontal="right" indent="1"/>
    </xf>
    <xf numFmtId="47" fontId="7" fillId="0" borderId="1" xfId="0" applyNumberFormat="1" applyFont="1" applyBorder="1" applyAlignment="1">
      <alignment horizontal="right" wrapText="1"/>
    </xf>
    <xf numFmtId="166" fontId="7" fillId="0" borderId="1" xfId="0" applyNumberFormat="1" applyFont="1" applyBorder="1" applyAlignment="1">
      <alignment horizontal="right" wrapText="1"/>
    </xf>
    <xf numFmtId="0" fontId="7" fillId="0" borderId="2" xfId="0" applyFont="1" applyBorder="1" applyAlignment="1">
      <alignment horizontal="left" wrapText="1"/>
    </xf>
    <xf numFmtId="0" fontId="7" fillId="4" borderId="0" xfId="0" applyFont="1" applyFill="1"/>
    <xf numFmtId="0" fontId="0" fillId="2" borderId="14" xfId="0" applyFill="1" applyBorder="1" applyAlignment="1" applyProtection="1">
      <alignment horizontal="right"/>
      <protection locked="0"/>
    </xf>
    <xf numFmtId="0" fontId="0" fillId="2" borderId="14" xfId="0" applyFill="1" applyBorder="1" applyProtection="1">
      <protection locked="0"/>
    </xf>
    <xf numFmtId="2" fontId="0" fillId="5" borderId="14" xfId="0" applyNumberFormat="1" applyFill="1" applyBorder="1" applyAlignment="1">
      <alignment horizontal="right" wrapText="1"/>
    </xf>
    <xf numFmtId="2" fontId="0" fillId="4" borderId="0" xfId="0" applyNumberFormat="1" applyFill="1"/>
    <xf numFmtId="2" fontId="0" fillId="4" borderId="0" xfId="0" applyNumberFormat="1" applyFill="1" applyAlignment="1">
      <alignment horizontal="right"/>
    </xf>
    <xf numFmtId="0" fontId="13" fillId="3" borderId="0" xfId="0" applyFont="1" applyFill="1"/>
    <xf numFmtId="9" fontId="12" fillId="6" borderId="0" xfId="0" applyNumberFormat="1" applyFont="1" applyFill="1" applyProtection="1">
      <protection locked="0"/>
    </xf>
    <xf numFmtId="166" fontId="0" fillId="0" borderId="0" xfId="0" applyNumberFormat="1" applyAlignment="1">
      <alignment horizontal="right"/>
    </xf>
    <xf numFmtId="165" fontId="3" fillId="0" borderId="0" xfId="0" applyNumberFormat="1" applyFont="1"/>
    <xf numFmtId="9" fontId="0" fillId="0" borderId="0" xfId="0" applyNumberFormat="1"/>
    <xf numFmtId="168" fontId="0" fillId="0" borderId="0" xfId="0" applyNumberFormat="1" applyAlignment="1">
      <alignment horizontal="right"/>
    </xf>
    <xf numFmtId="169" fontId="0" fillId="0" borderId="0" xfId="0" applyNumberFormat="1"/>
    <xf numFmtId="169" fontId="0" fillId="0" borderId="0" xfId="0" applyNumberFormat="1" applyAlignment="1">
      <alignment horizontal="right"/>
    </xf>
    <xf numFmtId="170" fontId="0" fillId="0" borderId="0" xfId="0" applyNumberFormat="1" applyAlignment="1">
      <alignment horizontal="right"/>
    </xf>
    <xf numFmtId="169" fontId="7" fillId="0" borderId="0" xfId="0" applyNumberFormat="1" applyFont="1"/>
    <xf numFmtId="0" fontId="15" fillId="0" borderId="0" xfId="2" applyFont="1"/>
    <xf numFmtId="0" fontId="0" fillId="0" borderId="15" xfId="0" applyBorder="1" applyAlignment="1">
      <alignment horizontal="right" wrapText="1"/>
    </xf>
    <xf numFmtId="170" fontId="0" fillId="0" borderId="0" xfId="0" applyNumberFormat="1"/>
    <xf numFmtId="170" fontId="7" fillId="0" borderId="0" xfId="0" applyNumberFormat="1" applyFont="1"/>
    <xf numFmtId="170" fontId="7" fillId="0" borderId="0" xfId="0" applyNumberFormat="1" applyFont="1" applyAlignment="1">
      <alignment horizontal="right"/>
    </xf>
    <xf numFmtId="165" fontId="3" fillId="0" borderId="0" xfId="0" applyNumberFormat="1" applyFont="1" applyAlignment="1">
      <alignment horizontal="right"/>
    </xf>
    <xf numFmtId="1" fontId="0" fillId="0" borderId="0" xfId="0" applyNumberFormat="1" applyAlignment="1">
      <alignment horizontal="right"/>
    </xf>
    <xf numFmtId="2" fontId="0" fillId="0" borderId="0" xfId="0" applyNumberFormat="1" applyAlignment="1">
      <alignment horizontal="right"/>
    </xf>
    <xf numFmtId="2" fontId="7" fillId="0" borderId="0" xfId="0" applyNumberFormat="1" applyFont="1"/>
    <xf numFmtId="0" fontId="7" fillId="3" borderId="0" xfId="0" applyFont="1" applyFill="1"/>
    <xf numFmtId="170" fontId="0" fillId="5" borderId="14" xfId="0" applyNumberFormat="1" applyFill="1" applyBorder="1" applyAlignment="1">
      <alignment horizontal="right" wrapText="1"/>
    </xf>
    <xf numFmtId="0" fontId="0" fillId="2" borderId="14" xfId="0" applyFill="1" applyBorder="1" applyAlignment="1" applyProtection="1">
      <alignment horizontal="right" vertical="center"/>
      <protection locked="0"/>
    </xf>
    <xf numFmtId="0" fontId="0" fillId="2" borderId="14" xfId="0" applyFill="1" applyBorder="1" applyAlignment="1" applyProtection="1">
      <alignment vertical="center"/>
      <protection locked="0"/>
    </xf>
    <xf numFmtId="0" fontId="13" fillId="3" borderId="0" xfId="0" applyFont="1" applyFill="1" applyAlignment="1">
      <alignment vertical="center"/>
    </xf>
    <xf numFmtId="0" fontId="0" fillId="3" borderId="0" xfId="0" applyFill="1" applyAlignment="1">
      <alignment vertical="center"/>
    </xf>
    <xf numFmtId="0" fontId="0" fillId="3" borderId="0" xfId="0" applyFill="1" applyAlignment="1">
      <alignment horizontal="right" vertical="center"/>
    </xf>
    <xf numFmtId="0" fontId="7" fillId="4" borderId="0" xfId="0" applyFont="1" applyFill="1" applyAlignment="1">
      <alignment vertical="center"/>
    </xf>
    <xf numFmtId="0" fontId="7" fillId="4" borderId="0" xfId="0" applyFont="1" applyFill="1" applyAlignment="1">
      <alignment horizontal="right" vertical="center"/>
    </xf>
    <xf numFmtId="0" fontId="7" fillId="3" borderId="0" xfId="0" applyFont="1" applyFill="1" applyAlignment="1">
      <alignment vertical="center"/>
    </xf>
    <xf numFmtId="0" fontId="7" fillId="3" borderId="0" xfId="0" applyFont="1" applyFill="1" applyAlignment="1">
      <alignment horizontal="right" vertical="center"/>
    </xf>
    <xf numFmtId="0" fontId="0" fillId="4" borderId="0" xfId="0" applyFill="1" applyAlignment="1">
      <alignment vertical="center"/>
    </xf>
    <xf numFmtId="0" fontId="0" fillId="4" borderId="0" xfId="0" applyFill="1" applyAlignment="1">
      <alignment horizontal="right" vertical="center"/>
    </xf>
    <xf numFmtId="0" fontId="11" fillId="4" borderId="0" xfId="0" applyFont="1" applyFill="1" applyAlignment="1">
      <alignment horizontal="right" vertical="center"/>
    </xf>
    <xf numFmtId="0" fontId="11" fillId="4" borderId="0" xfId="0" applyFont="1" applyFill="1" applyAlignment="1">
      <alignment vertical="center"/>
    </xf>
    <xf numFmtId="0" fontId="0" fillId="5" borderId="14" xfId="0" applyFill="1" applyBorder="1" applyAlignment="1">
      <alignment horizontal="right" vertical="center"/>
    </xf>
    <xf numFmtId="170" fontId="0" fillId="5" borderId="14" xfId="0" applyNumberFormat="1" applyFill="1" applyBorder="1" applyAlignment="1">
      <alignment horizontal="right" vertical="center" wrapText="1"/>
    </xf>
    <xf numFmtId="166" fontId="0" fillId="5" borderId="14" xfId="0" applyNumberFormat="1" applyFill="1" applyBorder="1" applyAlignment="1">
      <alignment horizontal="right" vertical="center" wrapText="1"/>
    </xf>
    <xf numFmtId="0" fontId="14" fillId="7" borderId="14" xfId="0" applyFont="1" applyFill="1" applyBorder="1" applyAlignment="1">
      <alignment vertical="center"/>
    </xf>
    <xf numFmtId="47" fontId="0" fillId="4" borderId="0" xfId="0" applyNumberFormat="1" applyFill="1" applyAlignment="1">
      <alignment vertical="center"/>
    </xf>
    <xf numFmtId="166" fontId="0" fillId="4" borderId="0" xfId="0" applyNumberFormat="1" applyFill="1" applyAlignment="1">
      <alignment horizontal="right" vertical="center"/>
    </xf>
    <xf numFmtId="166" fontId="0" fillId="4" borderId="0" xfId="0" applyNumberFormat="1" applyFill="1" applyAlignment="1">
      <alignment vertical="center"/>
    </xf>
    <xf numFmtId="49" fontId="0" fillId="4" borderId="0" xfId="0" applyNumberFormat="1" applyFill="1" applyAlignment="1">
      <alignment horizontal="right" vertical="center"/>
    </xf>
    <xf numFmtId="0" fontId="16" fillId="4" borderId="0" xfId="0" applyFont="1" applyFill="1" applyAlignment="1">
      <alignment horizontal="right" vertical="center"/>
    </xf>
    <xf numFmtId="0" fontId="16" fillId="4" borderId="13" xfId="0" applyFont="1" applyFill="1" applyBorder="1" applyAlignment="1">
      <alignment horizontal="right" vertical="center"/>
    </xf>
    <xf numFmtId="0" fontId="16" fillId="4" borderId="11" xfId="0" applyFont="1" applyFill="1" applyBorder="1" applyAlignment="1">
      <alignment horizontal="right" vertical="center"/>
    </xf>
    <xf numFmtId="0" fontId="16" fillId="4" borderId="12" xfId="0" applyFont="1" applyFill="1" applyBorder="1" applyAlignment="1">
      <alignment horizontal="right" vertical="center"/>
    </xf>
    <xf numFmtId="0" fontId="16" fillId="4" borderId="0" xfId="0" applyFont="1" applyFill="1" applyAlignment="1">
      <alignment vertical="center"/>
    </xf>
    <xf numFmtId="166" fontId="16" fillId="4" borderId="0" xfId="0" applyNumberFormat="1" applyFont="1" applyFill="1" applyAlignment="1">
      <alignment horizontal="right" vertical="center" wrapText="1"/>
    </xf>
    <xf numFmtId="0" fontId="16" fillId="3" borderId="0" xfId="0" applyFont="1" applyFill="1" applyAlignment="1">
      <alignment vertical="center"/>
    </xf>
    <xf numFmtId="0" fontId="16" fillId="3" borderId="0" xfId="0" applyFont="1" applyFill="1" applyAlignment="1">
      <alignment horizontal="right" vertical="center"/>
    </xf>
    <xf numFmtId="0" fontId="16" fillId="3" borderId="13" xfId="0" applyFont="1" applyFill="1" applyBorder="1" applyAlignment="1">
      <alignment horizontal="right" vertical="center"/>
    </xf>
    <xf numFmtId="0" fontId="16" fillId="3" borderId="11" xfId="0" applyFont="1" applyFill="1" applyBorder="1" applyAlignment="1">
      <alignment horizontal="right" vertical="center"/>
    </xf>
    <xf numFmtId="0" fontId="16" fillId="3" borderId="12" xfId="0" applyFont="1" applyFill="1" applyBorder="1" applyAlignment="1">
      <alignment horizontal="right" vertical="center"/>
    </xf>
    <xf numFmtId="166" fontId="16" fillId="3" borderId="0" xfId="0" applyNumberFormat="1" applyFont="1" applyFill="1" applyAlignment="1">
      <alignment horizontal="right" vertical="center" wrapText="1"/>
    </xf>
    <xf numFmtId="0" fontId="0" fillId="0" borderId="5" xfId="0" applyBorder="1" applyAlignment="1">
      <alignment horizontal="right" indent="1"/>
    </xf>
    <xf numFmtId="0" fontId="0" fillId="0" borderId="5" xfId="0" applyBorder="1" applyAlignment="1">
      <alignment horizontal="right"/>
    </xf>
    <xf numFmtId="0" fontId="1" fillId="0" borderId="5" xfId="3" applyBorder="1"/>
    <xf numFmtId="0" fontId="0" fillId="0" borderId="5" xfId="0" applyBorder="1"/>
    <xf numFmtId="0" fontId="0" fillId="8" borderId="0" xfId="0" applyFill="1" applyAlignment="1">
      <alignment horizontal="right" indent="1"/>
    </xf>
    <xf numFmtId="0" fontId="0" fillId="8" borderId="0" xfId="0" applyFill="1" applyAlignment="1">
      <alignment horizontal="right"/>
    </xf>
    <xf numFmtId="0" fontId="0" fillId="8" borderId="0" xfId="0" applyFill="1" applyAlignment="1">
      <alignment horizontal="left" wrapText="1"/>
    </xf>
    <xf numFmtId="0" fontId="0" fillId="8" borderId="0" xfId="0" applyFill="1"/>
    <xf numFmtId="0" fontId="12" fillId="3" borderId="0" xfId="0" applyFont="1" applyFill="1" applyAlignment="1">
      <alignment vertical="center"/>
    </xf>
    <xf numFmtId="0" fontId="12" fillId="3" borderId="0" xfId="0" applyFont="1" applyFill="1" applyAlignment="1">
      <alignment horizontal="right" vertical="center"/>
    </xf>
    <xf numFmtId="0" fontId="12" fillId="3" borderId="13" xfId="0" applyFont="1" applyFill="1" applyBorder="1" applyAlignment="1">
      <alignment horizontal="right" vertical="center"/>
    </xf>
    <xf numFmtId="0" fontId="12" fillId="3" borderId="11" xfId="0" applyFont="1" applyFill="1" applyBorder="1" applyAlignment="1">
      <alignment horizontal="right" vertical="center"/>
    </xf>
    <xf numFmtId="0" fontId="12" fillId="3" borderId="12" xfId="0" applyFont="1" applyFill="1" applyBorder="1" applyAlignment="1">
      <alignment horizontal="right" vertical="center"/>
    </xf>
    <xf numFmtId="166" fontId="12" fillId="3" borderId="0" xfId="0" applyNumberFormat="1" applyFont="1" applyFill="1" applyAlignment="1">
      <alignment horizontal="right" vertical="center" wrapText="1"/>
    </xf>
  </cellXfs>
  <cellStyles count="4">
    <cellStyle name="Komma" xfId="1" builtinId="3"/>
    <cellStyle name="Standaard" xfId="0" builtinId="0"/>
    <cellStyle name="Standaard 2" xfId="2" xr:uid="{00000000-0005-0000-0000-000003000000}"/>
    <cellStyle name="Standaard 3" xfId="3" xr:uid="{99F94227-F3E2-459A-BD82-CC6D733DC3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449580</xdr:colOff>
      <xdr:row>23</xdr:row>
      <xdr:rowOff>0</xdr:rowOff>
    </xdr:from>
    <xdr:to>
      <xdr:col>26</xdr:col>
      <xdr:colOff>609614</xdr:colOff>
      <xdr:row>24</xdr:row>
      <xdr:rowOff>14</xdr:rowOff>
    </xdr:to>
    <xdr:pic>
      <xdr:nvPicPr>
        <xdr:cNvPr id="2" name="Afbeelding 1">
          <a:extLst>
            <a:ext uri="{FF2B5EF4-FFF2-40B4-BE49-F238E27FC236}">
              <a16:creationId xmlns:a16="http://schemas.microsoft.com/office/drawing/2014/main" id="{FDEA6F78-9852-4F94-FCCB-1AEBC689AB88}"/>
            </a:ext>
          </a:extLst>
        </xdr:cNvPr>
        <xdr:cNvPicPr>
          <a:picLocks noChangeAspect="1"/>
        </xdr:cNvPicPr>
      </xdr:nvPicPr>
      <xdr:blipFill>
        <a:blip xmlns:r="http://schemas.openxmlformats.org/officeDocument/2006/relationships" r:embed="rId1"/>
        <a:stretch>
          <a:fillRect/>
        </a:stretch>
      </xdr:blipFill>
      <xdr:spPr>
        <a:xfrm>
          <a:off x="8153400" y="4076700"/>
          <a:ext cx="160034" cy="1600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19</xdr:col>
      <xdr:colOff>0</xdr:colOff>
      <xdr:row>41</xdr:row>
      <xdr:rowOff>0</xdr:rowOff>
    </xdr:from>
    <xdr:ext cx="160034" cy="160034"/>
    <xdr:pic>
      <xdr:nvPicPr>
        <xdr:cNvPr id="23" name="Afbeelding 22">
          <a:extLst>
            <a:ext uri="{FF2B5EF4-FFF2-40B4-BE49-F238E27FC236}">
              <a16:creationId xmlns:a16="http://schemas.microsoft.com/office/drawing/2014/main" id="{95A31791-109C-449F-A28E-33B8267A4E9B}"/>
            </a:ext>
          </a:extLst>
        </xdr:cNvPr>
        <xdr:cNvPicPr>
          <a:picLocks noChangeAspect="1"/>
        </xdr:cNvPicPr>
      </xdr:nvPicPr>
      <xdr:blipFill>
        <a:blip xmlns:r="http://schemas.openxmlformats.org/officeDocument/2006/relationships" r:embed="rId1"/>
        <a:stretch>
          <a:fillRect/>
        </a:stretch>
      </xdr:blipFill>
      <xdr:spPr>
        <a:xfrm>
          <a:off x="11681460" y="9997440"/>
          <a:ext cx="160034" cy="160034"/>
        </a:xfrm>
        <a:prstGeom prst="rect">
          <a:avLst/>
        </a:prstGeom>
      </xdr:spPr>
    </xdr:pic>
    <xdr:clientData/>
  </xdr:oneCellAnchor>
  <xdr:oneCellAnchor>
    <xdr:from>
      <xdr:col>19</xdr:col>
      <xdr:colOff>0</xdr:colOff>
      <xdr:row>41</xdr:row>
      <xdr:rowOff>0</xdr:rowOff>
    </xdr:from>
    <xdr:ext cx="160034" cy="160034"/>
    <xdr:pic>
      <xdr:nvPicPr>
        <xdr:cNvPr id="24" name="Afbeelding 23">
          <a:extLst>
            <a:ext uri="{FF2B5EF4-FFF2-40B4-BE49-F238E27FC236}">
              <a16:creationId xmlns:a16="http://schemas.microsoft.com/office/drawing/2014/main" id="{4325E608-AEAC-40CC-9495-0634D8F1E7F0}"/>
            </a:ext>
          </a:extLst>
        </xdr:cNvPr>
        <xdr:cNvPicPr>
          <a:picLocks noChangeAspect="1"/>
        </xdr:cNvPicPr>
      </xdr:nvPicPr>
      <xdr:blipFill>
        <a:blip xmlns:r="http://schemas.openxmlformats.org/officeDocument/2006/relationships" r:embed="rId1"/>
        <a:stretch>
          <a:fillRect/>
        </a:stretch>
      </xdr:blipFill>
      <xdr:spPr>
        <a:xfrm>
          <a:off x="11681460" y="9997440"/>
          <a:ext cx="160034" cy="160034"/>
        </a:xfrm>
        <a:prstGeom prst="rect">
          <a:avLst/>
        </a:prstGeom>
      </xdr:spPr>
    </xdr:pic>
    <xdr:clientData/>
  </xdr:oneCellAnchor>
  <xdr:oneCellAnchor>
    <xdr:from>
      <xdr:col>19</xdr:col>
      <xdr:colOff>0</xdr:colOff>
      <xdr:row>41</xdr:row>
      <xdr:rowOff>0</xdr:rowOff>
    </xdr:from>
    <xdr:ext cx="160034" cy="160034"/>
    <xdr:pic>
      <xdr:nvPicPr>
        <xdr:cNvPr id="25" name="Afbeelding 24">
          <a:extLst>
            <a:ext uri="{FF2B5EF4-FFF2-40B4-BE49-F238E27FC236}">
              <a16:creationId xmlns:a16="http://schemas.microsoft.com/office/drawing/2014/main" id="{4E5D647F-0358-407A-B029-2028BDAD2291}"/>
            </a:ext>
          </a:extLst>
        </xdr:cNvPr>
        <xdr:cNvPicPr>
          <a:picLocks noChangeAspect="1"/>
        </xdr:cNvPicPr>
      </xdr:nvPicPr>
      <xdr:blipFill>
        <a:blip xmlns:r="http://schemas.openxmlformats.org/officeDocument/2006/relationships" r:embed="rId1"/>
        <a:stretch>
          <a:fillRect/>
        </a:stretch>
      </xdr:blipFill>
      <xdr:spPr>
        <a:xfrm>
          <a:off x="11681460" y="9997440"/>
          <a:ext cx="160034" cy="160034"/>
        </a:xfrm>
        <a:prstGeom prst="rect">
          <a:avLst/>
        </a:prstGeom>
      </xdr:spPr>
    </xdr:pic>
    <xdr:clientData/>
  </xdr:oneCellAnchor>
  <xdr:oneCellAnchor>
    <xdr:from>
      <xdr:col>19</xdr:col>
      <xdr:colOff>0</xdr:colOff>
      <xdr:row>45</xdr:row>
      <xdr:rowOff>0</xdr:rowOff>
    </xdr:from>
    <xdr:ext cx="160034" cy="160034"/>
    <xdr:pic>
      <xdr:nvPicPr>
        <xdr:cNvPr id="26" name="Afbeelding 25">
          <a:extLst>
            <a:ext uri="{FF2B5EF4-FFF2-40B4-BE49-F238E27FC236}">
              <a16:creationId xmlns:a16="http://schemas.microsoft.com/office/drawing/2014/main" id="{9DBE0B2A-B0C4-4DCD-9747-D5C6DEB3A2F2}"/>
            </a:ext>
          </a:extLst>
        </xdr:cNvPr>
        <xdr:cNvPicPr>
          <a:picLocks noChangeAspect="1"/>
        </xdr:cNvPicPr>
      </xdr:nvPicPr>
      <xdr:blipFill>
        <a:blip xmlns:r="http://schemas.openxmlformats.org/officeDocument/2006/relationships" r:embed="rId1"/>
        <a:stretch>
          <a:fillRect/>
        </a:stretch>
      </xdr:blipFill>
      <xdr:spPr>
        <a:xfrm>
          <a:off x="11681460" y="10972800"/>
          <a:ext cx="160034" cy="160034"/>
        </a:xfrm>
        <a:prstGeom prst="rect">
          <a:avLst/>
        </a:prstGeom>
      </xdr:spPr>
    </xdr:pic>
    <xdr:clientData/>
  </xdr:oneCellAnchor>
  <xdr:oneCellAnchor>
    <xdr:from>
      <xdr:col>19</xdr:col>
      <xdr:colOff>0</xdr:colOff>
      <xdr:row>45</xdr:row>
      <xdr:rowOff>0</xdr:rowOff>
    </xdr:from>
    <xdr:ext cx="160034" cy="160034"/>
    <xdr:pic>
      <xdr:nvPicPr>
        <xdr:cNvPr id="27" name="Afbeelding 26">
          <a:extLst>
            <a:ext uri="{FF2B5EF4-FFF2-40B4-BE49-F238E27FC236}">
              <a16:creationId xmlns:a16="http://schemas.microsoft.com/office/drawing/2014/main" id="{5DA47F52-A314-4E4D-9415-F66CCD067E33}"/>
            </a:ext>
          </a:extLst>
        </xdr:cNvPr>
        <xdr:cNvPicPr>
          <a:picLocks noChangeAspect="1"/>
        </xdr:cNvPicPr>
      </xdr:nvPicPr>
      <xdr:blipFill>
        <a:blip xmlns:r="http://schemas.openxmlformats.org/officeDocument/2006/relationships" r:embed="rId1"/>
        <a:stretch>
          <a:fillRect/>
        </a:stretch>
      </xdr:blipFill>
      <xdr:spPr>
        <a:xfrm>
          <a:off x="11681460" y="10972800"/>
          <a:ext cx="160034" cy="160034"/>
        </a:xfrm>
        <a:prstGeom prst="rect">
          <a:avLst/>
        </a:prstGeom>
      </xdr:spPr>
    </xdr:pic>
    <xdr:clientData/>
  </xdr:oneCellAnchor>
  <xdr:oneCellAnchor>
    <xdr:from>
      <xdr:col>19</xdr:col>
      <xdr:colOff>0</xdr:colOff>
      <xdr:row>45</xdr:row>
      <xdr:rowOff>0</xdr:rowOff>
    </xdr:from>
    <xdr:ext cx="160034" cy="160034"/>
    <xdr:pic>
      <xdr:nvPicPr>
        <xdr:cNvPr id="28" name="Afbeelding 27">
          <a:extLst>
            <a:ext uri="{FF2B5EF4-FFF2-40B4-BE49-F238E27FC236}">
              <a16:creationId xmlns:a16="http://schemas.microsoft.com/office/drawing/2014/main" id="{AC95E9A8-B55E-4C80-A214-7B84972C7F59}"/>
            </a:ext>
          </a:extLst>
        </xdr:cNvPr>
        <xdr:cNvPicPr>
          <a:picLocks noChangeAspect="1"/>
        </xdr:cNvPicPr>
      </xdr:nvPicPr>
      <xdr:blipFill>
        <a:blip xmlns:r="http://schemas.openxmlformats.org/officeDocument/2006/relationships" r:embed="rId1"/>
        <a:stretch>
          <a:fillRect/>
        </a:stretch>
      </xdr:blipFill>
      <xdr:spPr>
        <a:xfrm>
          <a:off x="11681460" y="10972800"/>
          <a:ext cx="160034" cy="160034"/>
        </a:xfrm>
        <a:prstGeom prst="rect">
          <a:avLst/>
        </a:prstGeom>
      </xdr:spPr>
    </xdr:pic>
    <xdr:clientData/>
  </xdr:oneCellAnchor>
  <xdr:oneCellAnchor>
    <xdr:from>
      <xdr:col>19</xdr:col>
      <xdr:colOff>0</xdr:colOff>
      <xdr:row>49</xdr:row>
      <xdr:rowOff>0</xdr:rowOff>
    </xdr:from>
    <xdr:ext cx="160034" cy="160034"/>
    <xdr:pic>
      <xdr:nvPicPr>
        <xdr:cNvPr id="29" name="Afbeelding 28">
          <a:extLst>
            <a:ext uri="{FF2B5EF4-FFF2-40B4-BE49-F238E27FC236}">
              <a16:creationId xmlns:a16="http://schemas.microsoft.com/office/drawing/2014/main" id="{719788F3-68FF-4A1A-AE2B-E19D4EC82C13}"/>
            </a:ext>
          </a:extLst>
        </xdr:cNvPr>
        <xdr:cNvPicPr>
          <a:picLocks noChangeAspect="1"/>
        </xdr:cNvPicPr>
      </xdr:nvPicPr>
      <xdr:blipFill>
        <a:blip xmlns:r="http://schemas.openxmlformats.org/officeDocument/2006/relationships" r:embed="rId1"/>
        <a:stretch>
          <a:fillRect/>
        </a:stretch>
      </xdr:blipFill>
      <xdr:spPr>
        <a:xfrm>
          <a:off x="11681460" y="11948160"/>
          <a:ext cx="160034" cy="160034"/>
        </a:xfrm>
        <a:prstGeom prst="rect">
          <a:avLst/>
        </a:prstGeom>
      </xdr:spPr>
    </xdr:pic>
    <xdr:clientData/>
  </xdr:oneCellAnchor>
  <xdr:oneCellAnchor>
    <xdr:from>
      <xdr:col>19</xdr:col>
      <xdr:colOff>0</xdr:colOff>
      <xdr:row>49</xdr:row>
      <xdr:rowOff>0</xdr:rowOff>
    </xdr:from>
    <xdr:ext cx="160034" cy="160034"/>
    <xdr:pic>
      <xdr:nvPicPr>
        <xdr:cNvPr id="30" name="Afbeelding 29">
          <a:extLst>
            <a:ext uri="{FF2B5EF4-FFF2-40B4-BE49-F238E27FC236}">
              <a16:creationId xmlns:a16="http://schemas.microsoft.com/office/drawing/2014/main" id="{3004C903-945F-4914-A703-D4879F21AE42}"/>
            </a:ext>
          </a:extLst>
        </xdr:cNvPr>
        <xdr:cNvPicPr>
          <a:picLocks noChangeAspect="1"/>
        </xdr:cNvPicPr>
      </xdr:nvPicPr>
      <xdr:blipFill>
        <a:blip xmlns:r="http://schemas.openxmlformats.org/officeDocument/2006/relationships" r:embed="rId1"/>
        <a:stretch>
          <a:fillRect/>
        </a:stretch>
      </xdr:blipFill>
      <xdr:spPr>
        <a:xfrm>
          <a:off x="11681460" y="11948160"/>
          <a:ext cx="160034" cy="160034"/>
        </a:xfrm>
        <a:prstGeom prst="rect">
          <a:avLst/>
        </a:prstGeom>
      </xdr:spPr>
    </xdr:pic>
    <xdr:clientData/>
  </xdr:oneCellAnchor>
  <xdr:oneCellAnchor>
    <xdr:from>
      <xdr:col>19</xdr:col>
      <xdr:colOff>0</xdr:colOff>
      <xdr:row>49</xdr:row>
      <xdr:rowOff>0</xdr:rowOff>
    </xdr:from>
    <xdr:ext cx="160034" cy="160034"/>
    <xdr:pic>
      <xdr:nvPicPr>
        <xdr:cNvPr id="31" name="Afbeelding 30">
          <a:extLst>
            <a:ext uri="{FF2B5EF4-FFF2-40B4-BE49-F238E27FC236}">
              <a16:creationId xmlns:a16="http://schemas.microsoft.com/office/drawing/2014/main" id="{A9272820-4E14-4C07-8A7E-359278A04C66}"/>
            </a:ext>
          </a:extLst>
        </xdr:cNvPr>
        <xdr:cNvPicPr>
          <a:picLocks noChangeAspect="1"/>
        </xdr:cNvPicPr>
      </xdr:nvPicPr>
      <xdr:blipFill>
        <a:blip xmlns:r="http://schemas.openxmlformats.org/officeDocument/2006/relationships" r:embed="rId1"/>
        <a:stretch>
          <a:fillRect/>
        </a:stretch>
      </xdr:blipFill>
      <xdr:spPr>
        <a:xfrm>
          <a:off x="11681460" y="11948160"/>
          <a:ext cx="160034" cy="160034"/>
        </a:xfrm>
        <a:prstGeom prst="rect">
          <a:avLst/>
        </a:prstGeom>
      </xdr:spPr>
    </xdr:pic>
    <xdr:clientData/>
  </xdr:oneCellAnchor>
  <xdr:oneCellAnchor>
    <xdr:from>
      <xdr:col>19</xdr:col>
      <xdr:colOff>0</xdr:colOff>
      <xdr:row>53</xdr:row>
      <xdr:rowOff>0</xdr:rowOff>
    </xdr:from>
    <xdr:ext cx="160034" cy="160034"/>
    <xdr:pic>
      <xdr:nvPicPr>
        <xdr:cNvPr id="32" name="Afbeelding 31">
          <a:extLst>
            <a:ext uri="{FF2B5EF4-FFF2-40B4-BE49-F238E27FC236}">
              <a16:creationId xmlns:a16="http://schemas.microsoft.com/office/drawing/2014/main" id="{4F8B3FAE-56AA-46F3-B2E5-43B85A0B4FCB}"/>
            </a:ext>
          </a:extLst>
        </xdr:cNvPr>
        <xdr:cNvPicPr>
          <a:picLocks noChangeAspect="1"/>
        </xdr:cNvPicPr>
      </xdr:nvPicPr>
      <xdr:blipFill>
        <a:blip xmlns:r="http://schemas.openxmlformats.org/officeDocument/2006/relationships" r:embed="rId1"/>
        <a:stretch>
          <a:fillRect/>
        </a:stretch>
      </xdr:blipFill>
      <xdr:spPr>
        <a:xfrm>
          <a:off x="11681460" y="12923520"/>
          <a:ext cx="160034" cy="160034"/>
        </a:xfrm>
        <a:prstGeom prst="rect">
          <a:avLst/>
        </a:prstGeom>
      </xdr:spPr>
    </xdr:pic>
    <xdr:clientData/>
  </xdr:oneCellAnchor>
  <xdr:oneCellAnchor>
    <xdr:from>
      <xdr:col>19</xdr:col>
      <xdr:colOff>0</xdr:colOff>
      <xdr:row>53</xdr:row>
      <xdr:rowOff>0</xdr:rowOff>
    </xdr:from>
    <xdr:ext cx="160034" cy="160034"/>
    <xdr:pic>
      <xdr:nvPicPr>
        <xdr:cNvPr id="33" name="Afbeelding 32">
          <a:extLst>
            <a:ext uri="{FF2B5EF4-FFF2-40B4-BE49-F238E27FC236}">
              <a16:creationId xmlns:a16="http://schemas.microsoft.com/office/drawing/2014/main" id="{33C332DB-2D5B-4A57-969E-947AC262642A}"/>
            </a:ext>
          </a:extLst>
        </xdr:cNvPr>
        <xdr:cNvPicPr>
          <a:picLocks noChangeAspect="1"/>
        </xdr:cNvPicPr>
      </xdr:nvPicPr>
      <xdr:blipFill>
        <a:blip xmlns:r="http://schemas.openxmlformats.org/officeDocument/2006/relationships" r:embed="rId1"/>
        <a:stretch>
          <a:fillRect/>
        </a:stretch>
      </xdr:blipFill>
      <xdr:spPr>
        <a:xfrm>
          <a:off x="11681460" y="12923520"/>
          <a:ext cx="160034" cy="160034"/>
        </a:xfrm>
        <a:prstGeom prst="rect">
          <a:avLst/>
        </a:prstGeom>
      </xdr:spPr>
    </xdr:pic>
    <xdr:clientData/>
  </xdr:oneCellAnchor>
  <xdr:oneCellAnchor>
    <xdr:from>
      <xdr:col>19</xdr:col>
      <xdr:colOff>0</xdr:colOff>
      <xdr:row>53</xdr:row>
      <xdr:rowOff>0</xdr:rowOff>
    </xdr:from>
    <xdr:ext cx="160034" cy="160034"/>
    <xdr:pic>
      <xdr:nvPicPr>
        <xdr:cNvPr id="34" name="Afbeelding 33">
          <a:extLst>
            <a:ext uri="{FF2B5EF4-FFF2-40B4-BE49-F238E27FC236}">
              <a16:creationId xmlns:a16="http://schemas.microsoft.com/office/drawing/2014/main" id="{11C9B95D-0A02-4568-BECF-3DF868D98913}"/>
            </a:ext>
          </a:extLst>
        </xdr:cNvPr>
        <xdr:cNvPicPr>
          <a:picLocks noChangeAspect="1"/>
        </xdr:cNvPicPr>
      </xdr:nvPicPr>
      <xdr:blipFill>
        <a:blip xmlns:r="http://schemas.openxmlformats.org/officeDocument/2006/relationships" r:embed="rId1"/>
        <a:stretch>
          <a:fillRect/>
        </a:stretch>
      </xdr:blipFill>
      <xdr:spPr>
        <a:xfrm>
          <a:off x="11681460" y="12923520"/>
          <a:ext cx="160034" cy="160034"/>
        </a:xfrm>
        <a:prstGeom prst="rect">
          <a:avLst/>
        </a:prstGeom>
      </xdr:spPr>
    </xdr:pic>
    <xdr:clientData/>
  </xdr:oneCellAnchor>
  <xdr:oneCellAnchor>
    <xdr:from>
      <xdr:col>19</xdr:col>
      <xdr:colOff>0</xdr:colOff>
      <xdr:row>57</xdr:row>
      <xdr:rowOff>0</xdr:rowOff>
    </xdr:from>
    <xdr:ext cx="160034" cy="160034"/>
    <xdr:pic>
      <xdr:nvPicPr>
        <xdr:cNvPr id="35" name="Afbeelding 34">
          <a:extLst>
            <a:ext uri="{FF2B5EF4-FFF2-40B4-BE49-F238E27FC236}">
              <a16:creationId xmlns:a16="http://schemas.microsoft.com/office/drawing/2014/main" id="{230F6502-5683-49C3-A33B-CB98FFAAA6B2}"/>
            </a:ext>
          </a:extLst>
        </xdr:cNvPr>
        <xdr:cNvPicPr>
          <a:picLocks noChangeAspect="1"/>
        </xdr:cNvPicPr>
      </xdr:nvPicPr>
      <xdr:blipFill>
        <a:blip xmlns:r="http://schemas.openxmlformats.org/officeDocument/2006/relationships" r:embed="rId1"/>
        <a:stretch>
          <a:fillRect/>
        </a:stretch>
      </xdr:blipFill>
      <xdr:spPr>
        <a:xfrm>
          <a:off x="11681460" y="13898880"/>
          <a:ext cx="160034" cy="160034"/>
        </a:xfrm>
        <a:prstGeom prst="rect">
          <a:avLst/>
        </a:prstGeom>
      </xdr:spPr>
    </xdr:pic>
    <xdr:clientData/>
  </xdr:oneCellAnchor>
  <xdr:oneCellAnchor>
    <xdr:from>
      <xdr:col>19</xdr:col>
      <xdr:colOff>0</xdr:colOff>
      <xdr:row>57</xdr:row>
      <xdr:rowOff>0</xdr:rowOff>
    </xdr:from>
    <xdr:ext cx="160034" cy="160034"/>
    <xdr:pic>
      <xdr:nvPicPr>
        <xdr:cNvPr id="36" name="Afbeelding 35">
          <a:extLst>
            <a:ext uri="{FF2B5EF4-FFF2-40B4-BE49-F238E27FC236}">
              <a16:creationId xmlns:a16="http://schemas.microsoft.com/office/drawing/2014/main" id="{B57D54F3-8B4A-4FFE-8063-7A14CE2A823C}"/>
            </a:ext>
          </a:extLst>
        </xdr:cNvPr>
        <xdr:cNvPicPr>
          <a:picLocks noChangeAspect="1"/>
        </xdr:cNvPicPr>
      </xdr:nvPicPr>
      <xdr:blipFill>
        <a:blip xmlns:r="http://schemas.openxmlformats.org/officeDocument/2006/relationships" r:embed="rId1"/>
        <a:stretch>
          <a:fillRect/>
        </a:stretch>
      </xdr:blipFill>
      <xdr:spPr>
        <a:xfrm>
          <a:off x="11681460" y="13898880"/>
          <a:ext cx="160034" cy="160034"/>
        </a:xfrm>
        <a:prstGeom prst="rect">
          <a:avLst/>
        </a:prstGeom>
      </xdr:spPr>
    </xdr:pic>
    <xdr:clientData/>
  </xdr:oneCellAnchor>
  <xdr:oneCellAnchor>
    <xdr:from>
      <xdr:col>19</xdr:col>
      <xdr:colOff>0</xdr:colOff>
      <xdr:row>57</xdr:row>
      <xdr:rowOff>0</xdr:rowOff>
    </xdr:from>
    <xdr:ext cx="160034" cy="160034"/>
    <xdr:pic>
      <xdr:nvPicPr>
        <xdr:cNvPr id="37" name="Afbeelding 36">
          <a:extLst>
            <a:ext uri="{FF2B5EF4-FFF2-40B4-BE49-F238E27FC236}">
              <a16:creationId xmlns:a16="http://schemas.microsoft.com/office/drawing/2014/main" id="{255A04E6-C0F0-4D0F-9E2D-B58108F24187}"/>
            </a:ext>
          </a:extLst>
        </xdr:cNvPr>
        <xdr:cNvPicPr>
          <a:picLocks noChangeAspect="1"/>
        </xdr:cNvPicPr>
      </xdr:nvPicPr>
      <xdr:blipFill>
        <a:blip xmlns:r="http://schemas.openxmlformats.org/officeDocument/2006/relationships" r:embed="rId1"/>
        <a:stretch>
          <a:fillRect/>
        </a:stretch>
      </xdr:blipFill>
      <xdr:spPr>
        <a:xfrm>
          <a:off x="11681460" y="13898880"/>
          <a:ext cx="160034" cy="160034"/>
        </a:xfrm>
        <a:prstGeom prst="rect">
          <a:avLst/>
        </a:prstGeom>
      </xdr:spPr>
    </xdr:pic>
    <xdr:clientData/>
  </xdr:oneCellAnchor>
  <xdr:oneCellAnchor>
    <xdr:from>
      <xdr:col>19</xdr:col>
      <xdr:colOff>0</xdr:colOff>
      <xdr:row>61</xdr:row>
      <xdr:rowOff>0</xdr:rowOff>
    </xdr:from>
    <xdr:ext cx="160034" cy="160034"/>
    <xdr:pic>
      <xdr:nvPicPr>
        <xdr:cNvPr id="38" name="Afbeelding 37">
          <a:extLst>
            <a:ext uri="{FF2B5EF4-FFF2-40B4-BE49-F238E27FC236}">
              <a16:creationId xmlns:a16="http://schemas.microsoft.com/office/drawing/2014/main" id="{CABFD496-5E47-4BB3-9210-2C5F9D4CEA88}"/>
            </a:ext>
          </a:extLst>
        </xdr:cNvPr>
        <xdr:cNvPicPr>
          <a:picLocks noChangeAspect="1"/>
        </xdr:cNvPicPr>
      </xdr:nvPicPr>
      <xdr:blipFill>
        <a:blip xmlns:r="http://schemas.openxmlformats.org/officeDocument/2006/relationships" r:embed="rId1"/>
        <a:stretch>
          <a:fillRect/>
        </a:stretch>
      </xdr:blipFill>
      <xdr:spPr>
        <a:xfrm>
          <a:off x="11681460" y="14874240"/>
          <a:ext cx="160034" cy="160034"/>
        </a:xfrm>
        <a:prstGeom prst="rect">
          <a:avLst/>
        </a:prstGeom>
      </xdr:spPr>
    </xdr:pic>
    <xdr:clientData/>
  </xdr:oneCellAnchor>
  <xdr:oneCellAnchor>
    <xdr:from>
      <xdr:col>19</xdr:col>
      <xdr:colOff>0</xdr:colOff>
      <xdr:row>61</xdr:row>
      <xdr:rowOff>0</xdr:rowOff>
    </xdr:from>
    <xdr:ext cx="160034" cy="160034"/>
    <xdr:pic>
      <xdr:nvPicPr>
        <xdr:cNvPr id="39" name="Afbeelding 38">
          <a:extLst>
            <a:ext uri="{FF2B5EF4-FFF2-40B4-BE49-F238E27FC236}">
              <a16:creationId xmlns:a16="http://schemas.microsoft.com/office/drawing/2014/main" id="{E48B657E-2DD9-4891-9A33-8F371B3E988C}"/>
            </a:ext>
          </a:extLst>
        </xdr:cNvPr>
        <xdr:cNvPicPr>
          <a:picLocks noChangeAspect="1"/>
        </xdr:cNvPicPr>
      </xdr:nvPicPr>
      <xdr:blipFill>
        <a:blip xmlns:r="http://schemas.openxmlformats.org/officeDocument/2006/relationships" r:embed="rId1"/>
        <a:stretch>
          <a:fillRect/>
        </a:stretch>
      </xdr:blipFill>
      <xdr:spPr>
        <a:xfrm>
          <a:off x="11681460" y="14874240"/>
          <a:ext cx="160034" cy="160034"/>
        </a:xfrm>
        <a:prstGeom prst="rect">
          <a:avLst/>
        </a:prstGeom>
      </xdr:spPr>
    </xdr:pic>
    <xdr:clientData/>
  </xdr:oneCellAnchor>
  <xdr:oneCellAnchor>
    <xdr:from>
      <xdr:col>19</xdr:col>
      <xdr:colOff>0</xdr:colOff>
      <xdr:row>61</xdr:row>
      <xdr:rowOff>0</xdr:rowOff>
    </xdr:from>
    <xdr:ext cx="160034" cy="160034"/>
    <xdr:pic>
      <xdr:nvPicPr>
        <xdr:cNvPr id="40" name="Afbeelding 39">
          <a:extLst>
            <a:ext uri="{FF2B5EF4-FFF2-40B4-BE49-F238E27FC236}">
              <a16:creationId xmlns:a16="http://schemas.microsoft.com/office/drawing/2014/main" id="{E61DB808-1901-4C23-91EF-CCB86679C23F}"/>
            </a:ext>
          </a:extLst>
        </xdr:cNvPr>
        <xdr:cNvPicPr>
          <a:picLocks noChangeAspect="1"/>
        </xdr:cNvPicPr>
      </xdr:nvPicPr>
      <xdr:blipFill>
        <a:blip xmlns:r="http://schemas.openxmlformats.org/officeDocument/2006/relationships" r:embed="rId1"/>
        <a:stretch>
          <a:fillRect/>
        </a:stretch>
      </xdr:blipFill>
      <xdr:spPr>
        <a:xfrm>
          <a:off x="11681460" y="14874240"/>
          <a:ext cx="160034" cy="160034"/>
        </a:xfrm>
        <a:prstGeom prst="rect">
          <a:avLst/>
        </a:prstGeom>
      </xdr:spPr>
    </xdr:pic>
    <xdr:clientData/>
  </xdr:oneCellAnchor>
  <xdr:oneCellAnchor>
    <xdr:from>
      <xdr:col>19</xdr:col>
      <xdr:colOff>0</xdr:colOff>
      <xdr:row>65</xdr:row>
      <xdr:rowOff>0</xdr:rowOff>
    </xdr:from>
    <xdr:ext cx="160034" cy="160034"/>
    <xdr:pic>
      <xdr:nvPicPr>
        <xdr:cNvPr id="41" name="Afbeelding 40">
          <a:extLst>
            <a:ext uri="{FF2B5EF4-FFF2-40B4-BE49-F238E27FC236}">
              <a16:creationId xmlns:a16="http://schemas.microsoft.com/office/drawing/2014/main" id="{158F4DB2-D6FF-4EE0-9EAC-C563A8A54381}"/>
            </a:ext>
          </a:extLst>
        </xdr:cNvPr>
        <xdr:cNvPicPr>
          <a:picLocks noChangeAspect="1"/>
        </xdr:cNvPicPr>
      </xdr:nvPicPr>
      <xdr:blipFill>
        <a:blip xmlns:r="http://schemas.openxmlformats.org/officeDocument/2006/relationships" r:embed="rId1"/>
        <a:stretch>
          <a:fillRect/>
        </a:stretch>
      </xdr:blipFill>
      <xdr:spPr>
        <a:xfrm>
          <a:off x="11681460" y="15849600"/>
          <a:ext cx="160034" cy="160034"/>
        </a:xfrm>
        <a:prstGeom prst="rect">
          <a:avLst/>
        </a:prstGeom>
      </xdr:spPr>
    </xdr:pic>
    <xdr:clientData/>
  </xdr:oneCellAnchor>
  <xdr:oneCellAnchor>
    <xdr:from>
      <xdr:col>19</xdr:col>
      <xdr:colOff>0</xdr:colOff>
      <xdr:row>65</xdr:row>
      <xdr:rowOff>0</xdr:rowOff>
    </xdr:from>
    <xdr:ext cx="160034" cy="160034"/>
    <xdr:pic>
      <xdr:nvPicPr>
        <xdr:cNvPr id="42" name="Afbeelding 41">
          <a:extLst>
            <a:ext uri="{FF2B5EF4-FFF2-40B4-BE49-F238E27FC236}">
              <a16:creationId xmlns:a16="http://schemas.microsoft.com/office/drawing/2014/main" id="{4BA6BAE2-53B2-43FC-BB63-DCF700D1B197}"/>
            </a:ext>
          </a:extLst>
        </xdr:cNvPr>
        <xdr:cNvPicPr>
          <a:picLocks noChangeAspect="1"/>
        </xdr:cNvPicPr>
      </xdr:nvPicPr>
      <xdr:blipFill>
        <a:blip xmlns:r="http://schemas.openxmlformats.org/officeDocument/2006/relationships" r:embed="rId1"/>
        <a:stretch>
          <a:fillRect/>
        </a:stretch>
      </xdr:blipFill>
      <xdr:spPr>
        <a:xfrm>
          <a:off x="11681460" y="15849600"/>
          <a:ext cx="160034" cy="160034"/>
        </a:xfrm>
        <a:prstGeom prst="rect">
          <a:avLst/>
        </a:prstGeom>
      </xdr:spPr>
    </xdr:pic>
    <xdr:clientData/>
  </xdr:oneCellAnchor>
  <xdr:oneCellAnchor>
    <xdr:from>
      <xdr:col>19</xdr:col>
      <xdr:colOff>0</xdr:colOff>
      <xdr:row>65</xdr:row>
      <xdr:rowOff>0</xdr:rowOff>
    </xdr:from>
    <xdr:ext cx="160034" cy="160034"/>
    <xdr:pic>
      <xdr:nvPicPr>
        <xdr:cNvPr id="43" name="Afbeelding 42">
          <a:extLst>
            <a:ext uri="{FF2B5EF4-FFF2-40B4-BE49-F238E27FC236}">
              <a16:creationId xmlns:a16="http://schemas.microsoft.com/office/drawing/2014/main" id="{C8F05245-9864-467B-B837-705013514AFD}"/>
            </a:ext>
          </a:extLst>
        </xdr:cNvPr>
        <xdr:cNvPicPr>
          <a:picLocks noChangeAspect="1"/>
        </xdr:cNvPicPr>
      </xdr:nvPicPr>
      <xdr:blipFill>
        <a:blip xmlns:r="http://schemas.openxmlformats.org/officeDocument/2006/relationships" r:embed="rId1"/>
        <a:stretch>
          <a:fillRect/>
        </a:stretch>
      </xdr:blipFill>
      <xdr:spPr>
        <a:xfrm>
          <a:off x="11681460" y="15849600"/>
          <a:ext cx="160034" cy="160034"/>
        </a:xfrm>
        <a:prstGeom prst="rect">
          <a:avLst/>
        </a:prstGeom>
      </xdr:spPr>
    </xdr:pic>
    <xdr:clientData/>
  </xdr:oneCellAnchor>
  <xdr:oneCellAnchor>
    <xdr:from>
      <xdr:col>19</xdr:col>
      <xdr:colOff>0</xdr:colOff>
      <xdr:row>69</xdr:row>
      <xdr:rowOff>0</xdr:rowOff>
    </xdr:from>
    <xdr:ext cx="160034" cy="160034"/>
    <xdr:pic>
      <xdr:nvPicPr>
        <xdr:cNvPr id="44" name="Afbeelding 43">
          <a:extLst>
            <a:ext uri="{FF2B5EF4-FFF2-40B4-BE49-F238E27FC236}">
              <a16:creationId xmlns:a16="http://schemas.microsoft.com/office/drawing/2014/main" id="{0B65DE0C-64B7-4D1E-BD81-FEA93D24D5D2}"/>
            </a:ext>
          </a:extLst>
        </xdr:cNvPr>
        <xdr:cNvPicPr>
          <a:picLocks noChangeAspect="1"/>
        </xdr:cNvPicPr>
      </xdr:nvPicPr>
      <xdr:blipFill>
        <a:blip xmlns:r="http://schemas.openxmlformats.org/officeDocument/2006/relationships" r:embed="rId1"/>
        <a:stretch>
          <a:fillRect/>
        </a:stretch>
      </xdr:blipFill>
      <xdr:spPr>
        <a:xfrm>
          <a:off x="11681460" y="16824960"/>
          <a:ext cx="160034" cy="160034"/>
        </a:xfrm>
        <a:prstGeom prst="rect">
          <a:avLst/>
        </a:prstGeom>
      </xdr:spPr>
    </xdr:pic>
    <xdr:clientData/>
  </xdr:oneCellAnchor>
  <xdr:oneCellAnchor>
    <xdr:from>
      <xdr:col>19</xdr:col>
      <xdr:colOff>0</xdr:colOff>
      <xdr:row>69</xdr:row>
      <xdr:rowOff>0</xdr:rowOff>
    </xdr:from>
    <xdr:ext cx="160034" cy="160034"/>
    <xdr:pic>
      <xdr:nvPicPr>
        <xdr:cNvPr id="45" name="Afbeelding 44">
          <a:extLst>
            <a:ext uri="{FF2B5EF4-FFF2-40B4-BE49-F238E27FC236}">
              <a16:creationId xmlns:a16="http://schemas.microsoft.com/office/drawing/2014/main" id="{B643ADC6-A2E2-481A-9837-A096A20DF206}"/>
            </a:ext>
          </a:extLst>
        </xdr:cNvPr>
        <xdr:cNvPicPr>
          <a:picLocks noChangeAspect="1"/>
        </xdr:cNvPicPr>
      </xdr:nvPicPr>
      <xdr:blipFill>
        <a:blip xmlns:r="http://schemas.openxmlformats.org/officeDocument/2006/relationships" r:embed="rId1"/>
        <a:stretch>
          <a:fillRect/>
        </a:stretch>
      </xdr:blipFill>
      <xdr:spPr>
        <a:xfrm>
          <a:off x="11681460" y="16824960"/>
          <a:ext cx="160034" cy="160034"/>
        </a:xfrm>
        <a:prstGeom prst="rect">
          <a:avLst/>
        </a:prstGeom>
      </xdr:spPr>
    </xdr:pic>
    <xdr:clientData/>
  </xdr:oneCellAnchor>
  <xdr:oneCellAnchor>
    <xdr:from>
      <xdr:col>19</xdr:col>
      <xdr:colOff>0</xdr:colOff>
      <xdr:row>69</xdr:row>
      <xdr:rowOff>0</xdr:rowOff>
    </xdr:from>
    <xdr:ext cx="160034" cy="160034"/>
    <xdr:pic>
      <xdr:nvPicPr>
        <xdr:cNvPr id="46" name="Afbeelding 45">
          <a:extLst>
            <a:ext uri="{FF2B5EF4-FFF2-40B4-BE49-F238E27FC236}">
              <a16:creationId xmlns:a16="http://schemas.microsoft.com/office/drawing/2014/main" id="{6C78B7B1-7484-4896-ABA1-F20B9A2F22F8}"/>
            </a:ext>
          </a:extLst>
        </xdr:cNvPr>
        <xdr:cNvPicPr>
          <a:picLocks noChangeAspect="1"/>
        </xdr:cNvPicPr>
      </xdr:nvPicPr>
      <xdr:blipFill>
        <a:blip xmlns:r="http://schemas.openxmlformats.org/officeDocument/2006/relationships" r:embed="rId1"/>
        <a:stretch>
          <a:fillRect/>
        </a:stretch>
      </xdr:blipFill>
      <xdr:spPr>
        <a:xfrm>
          <a:off x="11681460" y="16824960"/>
          <a:ext cx="160034" cy="160034"/>
        </a:xfrm>
        <a:prstGeom prst="rect">
          <a:avLst/>
        </a:prstGeom>
      </xdr:spPr>
    </xdr:pic>
    <xdr:clientData/>
  </xdr:oneCellAnchor>
  <xdr:oneCellAnchor>
    <xdr:from>
      <xdr:col>19</xdr:col>
      <xdr:colOff>0</xdr:colOff>
      <xdr:row>73</xdr:row>
      <xdr:rowOff>0</xdr:rowOff>
    </xdr:from>
    <xdr:ext cx="160034" cy="160034"/>
    <xdr:pic>
      <xdr:nvPicPr>
        <xdr:cNvPr id="47" name="Afbeelding 46">
          <a:extLst>
            <a:ext uri="{FF2B5EF4-FFF2-40B4-BE49-F238E27FC236}">
              <a16:creationId xmlns:a16="http://schemas.microsoft.com/office/drawing/2014/main" id="{B879178E-7DA9-4C74-95F6-8A6DF98C9546}"/>
            </a:ext>
          </a:extLst>
        </xdr:cNvPr>
        <xdr:cNvPicPr>
          <a:picLocks noChangeAspect="1"/>
        </xdr:cNvPicPr>
      </xdr:nvPicPr>
      <xdr:blipFill>
        <a:blip xmlns:r="http://schemas.openxmlformats.org/officeDocument/2006/relationships" r:embed="rId1"/>
        <a:stretch>
          <a:fillRect/>
        </a:stretch>
      </xdr:blipFill>
      <xdr:spPr>
        <a:xfrm>
          <a:off x="11681460" y="17800320"/>
          <a:ext cx="160034" cy="160034"/>
        </a:xfrm>
        <a:prstGeom prst="rect">
          <a:avLst/>
        </a:prstGeom>
      </xdr:spPr>
    </xdr:pic>
    <xdr:clientData/>
  </xdr:oneCellAnchor>
  <xdr:oneCellAnchor>
    <xdr:from>
      <xdr:col>19</xdr:col>
      <xdr:colOff>0</xdr:colOff>
      <xdr:row>73</xdr:row>
      <xdr:rowOff>0</xdr:rowOff>
    </xdr:from>
    <xdr:ext cx="160034" cy="160034"/>
    <xdr:pic>
      <xdr:nvPicPr>
        <xdr:cNvPr id="48" name="Afbeelding 47">
          <a:extLst>
            <a:ext uri="{FF2B5EF4-FFF2-40B4-BE49-F238E27FC236}">
              <a16:creationId xmlns:a16="http://schemas.microsoft.com/office/drawing/2014/main" id="{0E873D97-C971-4BB4-8CDC-BAC754443F25}"/>
            </a:ext>
          </a:extLst>
        </xdr:cNvPr>
        <xdr:cNvPicPr>
          <a:picLocks noChangeAspect="1"/>
        </xdr:cNvPicPr>
      </xdr:nvPicPr>
      <xdr:blipFill>
        <a:blip xmlns:r="http://schemas.openxmlformats.org/officeDocument/2006/relationships" r:embed="rId1"/>
        <a:stretch>
          <a:fillRect/>
        </a:stretch>
      </xdr:blipFill>
      <xdr:spPr>
        <a:xfrm>
          <a:off x="11681460" y="17800320"/>
          <a:ext cx="160034" cy="160034"/>
        </a:xfrm>
        <a:prstGeom prst="rect">
          <a:avLst/>
        </a:prstGeom>
      </xdr:spPr>
    </xdr:pic>
    <xdr:clientData/>
  </xdr:oneCellAnchor>
  <xdr:oneCellAnchor>
    <xdr:from>
      <xdr:col>19</xdr:col>
      <xdr:colOff>0</xdr:colOff>
      <xdr:row>73</xdr:row>
      <xdr:rowOff>0</xdr:rowOff>
    </xdr:from>
    <xdr:ext cx="160034" cy="160034"/>
    <xdr:pic>
      <xdr:nvPicPr>
        <xdr:cNvPr id="49" name="Afbeelding 48">
          <a:extLst>
            <a:ext uri="{FF2B5EF4-FFF2-40B4-BE49-F238E27FC236}">
              <a16:creationId xmlns:a16="http://schemas.microsoft.com/office/drawing/2014/main" id="{69DA752D-7160-4D01-921B-F10DA4521C51}"/>
            </a:ext>
          </a:extLst>
        </xdr:cNvPr>
        <xdr:cNvPicPr>
          <a:picLocks noChangeAspect="1"/>
        </xdr:cNvPicPr>
      </xdr:nvPicPr>
      <xdr:blipFill>
        <a:blip xmlns:r="http://schemas.openxmlformats.org/officeDocument/2006/relationships" r:embed="rId1"/>
        <a:stretch>
          <a:fillRect/>
        </a:stretch>
      </xdr:blipFill>
      <xdr:spPr>
        <a:xfrm>
          <a:off x="11681460" y="17800320"/>
          <a:ext cx="160034" cy="160034"/>
        </a:xfrm>
        <a:prstGeom prst="rect">
          <a:avLst/>
        </a:prstGeom>
      </xdr:spPr>
    </xdr:pic>
    <xdr:clientData/>
  </xdr:oneCellAnchor>
  <xdr:oneCellAnchor>
    <xdr:from>
      <xdr:col>19</xdr:col>
      <xdr:colOff>0</xdr:colOff>
      <xdr:row>77</xdr:row>
      <xdr:rowOff>0</xdr:rowOff>
    </xdr:from>
    <xdr:ext cx="160034" cy="160034"/>
    <xdr:pic>
      <xdr:nvPicPr>
        <xdr:cNvPr id="50" name="Afbeelding 49">
          <a:extLst>
            <a:ext uri="{FF2B5EF4-FFF2-40B4-BE49-F238E27FC236}">
              <a16:creationId xmlns:a16="http://schemas.microsoft.com/office/drawing/2014/main" id="{0BB4E355-4A1C-47BC-A4C3-06C609EC5E94}"/>
            </a:ext>
          </a:extLst>
        </xdr:cNvPr>
        <xdr:cNvPicPr>
          <a:picLocks noChangeAspect="1"/>
        </xdr:cNvPicPr>
      </xdr:nvPicPr>
      <xdr:blipFill>
        <a:blip xmlns:r="http://schemas.openxmlformats.org/officeDocument/2006/relationships" r:embed="rId1"/>
        <a:stretch>
          <a:fillRect/>
        </a:stretch>
      </xdr:blipFill>
      <xdr:spPr>
        <a:xfrm>
          <a:off x="11681460" y="18775680"/>
          <a:ext cx="160034" cy="160034"/>
        </a:xfrm>
        <a:prstGeom prst="rect">
          <a:avLst/>
        </a:prstGeom>
      </xdr:spPr>
    </xdr:pic>
    <xdr:clientData/>
  </xdr:oneCellAnchor>
  <xdr:oneCellAnchor>
    <xdr:from>
      <xdr:col>19</xdr:col>
      <xdr:colOff>0</xdr:colOff>
      <xdr:row>77</xdr:row>
      <xdr:rowOff>0</xdr:rowOff>
    </xdr:from>
    <xdr:ext cx="160034" cy="160034"/>
    <xdr:pic>
      <xdr:nvPicPr>
        <xdr:cNvPr id="51" name="Afbeelding 50">
          <a:extLst>
            <a:ext uri="{FF2B5EF4-FFF2-40B4-BE49-F238E27FC236}">
              <a16:creationId xmlns:a16="http://schemas.microsoft.com/office/drawing/2014/main" id="{5F1FDF70-812B-49AA-B222-6CA9B50418F4}"/>
            </a:ext>
          </a:extLst>
        </xdr:cNvPr>
        <xdr:cNvPicPr>
          <a:picLocks noChangeAspect="1"/>
        </xdr:cNvPicPr>
      </xdr:nvPicPr>
      <xdr:blipFill>
        <a:blip xmlns:r="http://schemas.openxmlformats.org/officeDocument/2006/relationships" r:embed="rId1"/>
        <a:stretch>
          <a:fillRect/>
        </a:stretch>
      </xdr:blipFill>
      <xdr:spPr>
        <a:xfrm>
          <a:off x="11681460" y="18775680"/>
          <a:ext cx="160034" cy="160034"/>
        </a:xfrm>
        <a:prstGeom prst="rect">
          <a:avLst/>
        </a:prstGeom>
      </xdr:spPr>
    </xdr:pic>
    <xdr:clientData/>
  </xdr:oneCellAnchor>
  <xdr:oneCellAnchor>
    <xdr:from>
      <xdr:col>19</xdr:col>
      <xdr:colOff>0</xdr:colOff>
      <xdr:row>77</xdr:row>
      <xdr:rowOff>0</xdr:rowOff>
    </xdr:from>
    <xdr:ext cx="160034" cy="160034"/>
    <xdr:pic>
      <xdr:nvPicPr>
        <xdr:cNvPr id="52" name="Afbeelding 51">
          <a:extLst>
            <a:ext uri="{FF2B5EF4-FFF2-40B4-BE49-F238E27FC236}">
              <a16:creationId xmlns:a16="http://schemas.microsoft.com/office/drawing/2014/main" id="{A49C5719-D6F0-48C9-8EE3-8B86822A71EA}"/>
            </a:ext>
          </a:extLst>
        </xdr:cNvPr>
        <xdr:cNvPicPr>
          <a:picLocks noChangeAspect="1"/>
        </xdr:cNvPicPr>
      </xdr:nvPicPr>
      <xdr:blipFill>
        <a:blip xmlns:r="http://schemas.openxmlformats.org/officeDocument/2006/relationships" r:embed="rId1"/>
        <a:stretch>
          <a:fillRect/>
        </a:stretch>
      </xdr:blipFill>
      <xdr:spPr>
        <a:xfrm>
          <a:off x="11681460" y="18775680"/>
          <a:ext cx="160034" cy="160034"/>
        </a:xfrm>
        <a:prstGeom prst="rect">
          <a:avLst/>
        </a:prstGeom>
      </xdr:spPr>
    </xdr:pic>
    <xdr:clientData/>
  </xdr:oneCellAnchor>
  <xdr:oneCellAnchor>
    <xdr:from>
      <xdr:col>19</xdr:col>
      <xdr:colOff>0</xdr:colOff>
      <xdr:row>81</xdr:row>
      <xdr:rowOff>0</xdr:rowOff>
    </xdr:from>
    <xdr:ext cx="160034" cy="160034"/>
    <xdr:pic>
      <xdr:nvPicPr>
        <xdr:cNvPr id="53" name="Afbeelding 52">
          <a:extLst>
            <a:ext uri="{FF2B5EF4-FFF2-40B4-BE49-F238E27FC236}">
              <a16:creationId xmlns:a16="http://schemas.microsoft.com/office/drawing/2014/main" id="{823F1C05-A9C4-4E42-9B08-F1FB17A48FFE}"/>
            </a:ext>
          </a:extLst>
        </xdr:cNvPr>
        <xdr:cNvPicPr>
          <a:picLocks noChangeAspect="1"/>
        </xdr:cNvPicPr>
      </xdr:nvPicPr>
      <xdr:blipFill>
        <a:blip xmlns:r="http://schemas.openxmlformats.org/officeDocument/2006/relationships" r:embed="rId1"/>
        <a:stretch>
          <a:fillRect/>
        </a:stretch>
      </xdr:blipFill>
      <xdr:spPr>
        <a:xfrm>
          <a:off x="11681460" y="19751040"/>
          <a:ext cx="160034" cy="160034"/>
        </a:xfrm>
        <a:prstGeom prst="rect">
          <a:avLst/>
        </a:prstGeom>
      </xdr:spPr>
    </xdr:pic>
    <xdr:clientData/>
  </xdr:oneCellAnchor>
  <xdr:oneCellAnchor>
    <xdr:from>
      <xdr:col>19</xdr:col>
      <xdr:colOff>0</xdr:colOff>
      <xdr:row>81</xdr:row>
      <xdr:rowOff>0</xdr:rowOff>
    </xdr:from>
    <xdr:ext cx="160034" cy="160034"/>
    <xdr:pic>
      <xdr:nvPicPr>
        <xdr:cNvPr id="54" name="Afbeelding 53">
          <a:extLst>
            <a:ext uri="{FF2B5EF4-FFF2-40B4-BE49-F238E27FC236}">
              <a16:creationId xmlns:a16="http://schemas.microsoft.com/office/drawing/2014/main" id="{2F06D639-C176-4880-9146-99A85045E8C4}"/>
            </a:ext>
          </a:extLst>
        </xdr:cNvPr>
        <xdr:cNvPicPr>
          <a:picLocks noChangeAspect="1"/>
        </xdr:cNvPicPr>
      </xdr:nvPicPr>
      <xdr:blipFill>
        <a:blip xmlns:r="http://schemas.openxmlformats.org/officeDocument/2006/relationships" r:embed="rId1"/>
        <a:stretch>
          <a:fillRect/>
        </a:stretch>
      </xdr:blipFill>
      <xdr:spPr>
        <a:xfrm>
          <a:off x="11681460" y="19751040"/>
          <a:ext cx="160034" cy="160034"/>
        </a:xfrm>
        <a:prstGeom prst="rect">
          <a:avLst/>
        </a:prstGeom>
      </xdr:spPr>
    </xdr:pic>
    <xdr:clientData/>
  </xdr:oneCellAnchor>
  <xdr:oneCellAnchor>
    <xdr:from>
      <xdr:col>19</xdr:col>
      <xdr:colOff>0</xdr:colOff>
      <xdr:row>81</xdr:row>
      <xdr:rowOff>0</xdr:rowOff>
    </xdr:from>
    <xdr:ext cx="160034" cy="160034"/>
    <xdr:pic>
      <xdr:nvPicPr>
        <xdr:cNvPr id="55" name="Afbeelding 54">
          <a:extLst>
            <a:ext uri="{FF2B5EF4-FFF2-40B4-BE49-F238E27FC236}">
              <a16:creationId xmlns:a16="http://schemas.microsoft.com/office/drawing/2014/main" id="{697BFF1A-8E5F-448E-A5E9-62C6DD7C659E}"/>
            </a:ext>
          </a:extLst>
        </xdr:cNvPr>
        <xdr:cNvPicPr>
          <a:picLocks noChangeAspect="1"/>
        </xdr:cNvPicPr>
      </xdr:nvPicPr>
      <xdr:blipFill>
        <a:blip xmlns:r="http://schemas.openxmlformats.org/officeDocument/2006/relationships" r:embed="rId1"/>
        <a:stretch>
          <a:fillRect/>
        </a:stretch>
      </xdr:blipFill>
      <xdr:spPr>
        <a:xfrm>
          <a:off x="11681460" y="19751040"/>
          <a:ext cx="160034" cy="160034"/>
        </a:xfrm>
        <a:prstGeom prst="rect">
          <a:avLst/>
        </a:prstGeom>
      </xdr:spPr>
    </xdr:pic>
    <xdr:clientData/>
  </xdr:oneCellAnchor>
  <xdr:oneCellAnchor>
    <xdr:from>
      <xdr:col>19</xdr:col>
      <xdr:colOff>0</xdr:colOff>
      <xdr:row>85</xdr:row>
      <xdr:rowOff>0</xdr:rowOff>
    </xdr:from>
    <xdr:ext cx="160034" cy="160034"/>
    <xdr:pic>
      <xdr:nvPicPr>
        <xdr:cNvPr id="56" name="Afbeelding 55">
          <a:extLst>
            <a:ext uri="{FF2B5EF4-FFF2-40B4-BE49-F238E27FC236}">
              <a16:creationId xmlns:a16="http://schemas.microsoft.com/office/drawing/2014/main" id="{0748CCC8-4A4D-478B-A265-4804B8ABA773}"/>
            </a:ext>
          </a:extLst>
        </xdr:cNvPr>
        <xdr:cNvPicPr>
          <a:picLocks noChangeAspect="1"/>
        </xdr:cNvPicPr>
      </xdr:nvPicPr>
      <xdr:blipFill>
        <a:blip xmlns:r="http://schemas.openxmlformats.org/officeDocument/2006/relationships" r:embed="rId1"/>
        <a:stretch>
          <a:fillRect/>
        </a:stretch>
      </xdr:blipFill>
      <xdr:spPr>
        <a:xfrm>
          <a:off x="11681460" y="20726400"/>
          <a:ext cx="160034" cy="160034"/>
        </a:xfrm>
        <a:prstGeom prst="rect">
          <a:avLst/>
        </a:prstGeom>
      </xdr:spPr>
    </xdr:pic>
    <xdr:clientData/>
  </xdr:oneCellAnchor>
  <xdr:oneCellAnchor>
    <xdr:from>
      <xdr:col>19</xdr:col>
      <xdr:colOff>0</xdr:colOff>
      <xdr:row>85</xdr:row>
      <xdr:rowOff>0</xdr:rowOff>
    </xdr:from>
    <xdr:ext cx="160034" cy="160034"/>
    <xdr:pic>
      <xdr:nvPicPr>
        <xdr:cNvPr id="57" name="Afbeelding 56">
          <a:extLst>
            <a:ext uri="{FF2B5EF4-FFF2-40B4-BE49-F238E27FC236}">
              <a16:creationId xmlns:a16="http://schemas.microsoft.com/office/drawing/2014/main" id="{4C78FC0E-4DD1-45F9-8BD0-F23F41639E2D}"/>
            </a:ext>
          </a:extLst>
        </xdr:cNvPr>
        <xdr:cNvPicPr>
          <a:picLocks noChangeAspect="1"/>
        </xdr:cNvPicPr>
      </xdr:nvPicPr>
      <xdr:blipFill>
        <a:blip xmlns:r="http://schemas.openxmlformats.org/officeDocument/2006/relationships" r:embed="rId1"/>
        <a:stretch>
          <a:fillRect/>
        </a:stretch>
      </xdr:blipFill>
      <xdr:spPr>
        <a:xfrm>
          <a:off x="11681460" y="20726400"/>
          <a:ext cx="160034" cy="160034"/>
        </a:xfrm>
        <a:prstGeom prst="rect">
          <a:avLst/>
        </a:prstGeom>
      </xdr:spPr>
    </xdr:pic>
    <xdr:clientData/>
  </xdr:oneCellAnchor>
  <xdr:oneCellAnchor>
    <xdr:from>
      <xdr:col>19</xdr:col>
      <xdr:colOff>0</xdr:colOff>
      <xdr:row>85</xdr:row>
      <xdr:rowOff>0</xdr:rowOff>
    </xdr:from>
    <xdr:ext cx="160034" cy="160034"/>
    <xdr:pic>
      <xdr:nvPicPr>
        <xdr:cNvPr id="58" name="Afbeelding 57">
          <a:extLst>
            <a:ext uri="{FF2B5EF4-FFF2-40B4-BE49-F238E27FC236}">
              <a16:creationId xmlns:a16="http://schemas.microsoft.com/office/drawing/2014/main" id="{45C82DDA-1D67-4BB9-B3A6-8C63DF52D8AD}"/>
            </a:ext>
          </a:extLst>
        </xdr:cNvPr>
        <xdr:cNvPicPr>
          <a:picLocks noChangeAspect="1"/>
        </xdr:cNvPicPr>
      </xdr:nvPicPr>
      <xdr:blipFill>
        <a:blip xmlns:r="http://schemas.openxmlformats.org/officeDocument/2006/relationships" r:embed="rId1"/>
        <a:stretch>
          <a:fillRect/>
        </a:stretch>
      </xdr:blipFill>
      <xdr:spPr>
        <a:xfrm>
          <a:off x="11681460" y="20726400"/>
          <a:ext cx="160034" cy="160034"/>
        </a:xfrm>
        <a:prstGeom prst="rect">
          <a:avLst/>
        </a:prstGeom>
      </xdr:spPr>
    </xdr:pic>
    <xdr:clientData/>
  </xdr:oneCellAnchor>
  <xdr:oneCellAnchor>
    <xdr:from>
      <xdr:col>19</xdr:col>
      <xdr:colOff>0</xdr:colOff>
      <xdr:row>89</xdr:row>
      <xdr:rowOff>0</xdr:rowOff>
    </xdr:from>
    <xdr:ext cx="160034" cy="160034"/>
    <xdr:pic>
      <xdr:nvPicPr>
        <xdr:cNvPr id="59" name="Afbeelding 58">
          <a:extLst>
            <a:ext uri="{FF2B5EF4-FFF2-40B4-BE49-F238E27FC236}">
              <a16:creationId xmlns:a16="http://schemas.microsoft.com/office/drawing/2014/main" id="{8C7DB680-97FC-4220-B784-A6B20DA5A5BE}"/>
            </a:ext>
          </a:extLst>
        </xdr:cNvPr>
        <xdr:cNvPicPr>
          <a:picLocks noChangeAspect="1"/>
        </xdr:cNvPicPr>
      </xdr:nvPicPr>
      <xdr:blipFill>
        <a:blip xmlns:r="http://schemas.openxmlformats.org/officeDocument/2006/relationships" r:embed="rId1"/>
        <a:stretch>
          <a:fillRect/>
        </a:stretch>
      </xdr:blipFill>
      <xdr:spPr>
        <a:xfrm>
          <a:off x="11681460" y="21701760"/>
          <a:ext cx="160034" cy="160034"/>
        </a:xfrm>
        <a:prstGeom prst="rect">
          <a:avLst/>
        </a:prstGeom>
      </xdr:spPr>
    </xdr:pic>
    <xdr:clientData/>
  </xdr:oneCellAnchor>
  <xdr:oneCellAnchor>
    <xdr:from>
      <xdr:col>19</xdr:col>
      <xdr:colOff>0</xdr:colOff>
      <xdr:row>89</xdr:row>
      <xdr:rowOff>0</xdr:rowOff>
    </xdr:from>
    <xdr:ext cx="160034" cy="160034"/>
    <xdr:pic>
      <xdr:nvPicPr>
        <xdr:cNvPr id="60" name="Afbeelding 59">
          <a:extLst>
            <a:ext uri="{FF2B5EF4-FFF2-40B4-BE49-F238E27FC236}">
              <a16:creationId xmlns:a16="http://schemas.microsoft.com/office/drawing/2014/main" id="{7883B513-E13C-462D-B437-BDF45046CBC8}"/>
            </a:ext>
          </a:extLst>
        </xdr:cNvPr>
        <xdr:cNvPicPr>
          <a:picLocks noChangeAspect="1"/>
        </xdr:cNvPicPr>
      </xdr:nvPicPr>
      <xdr:blipFill>
        <a:blip xmlns:r="http://schemas.openxmlformats.org/officeDocument/2006/relationships" r:embed="rId1"/>
        <a:stretch>
          <a:fillRect/>
        </a:stretch>
      </xdr:blipFill>
      <xdr:spPr>
        <a:xfrm>
          <a:off x="11681460" y="21701760"/>
          <a:ext cx="160034" cy="160034"/>
        </a:xfrm>
        <a:prstGeom prst="rect">
          <a:avLst/>
        </a:prstGeom>
      </xdr:spPr>
    </xdr:pic>
    <xdr:clientData/>
  </xdr:oneCellAnchor>
  <xdr:oneCellAnchor>
    <xdr:from>
      <xdr:col>19</xdr:col>
      <xdr:colOff>0</xdr:colOff>
      <xdr:row>89</xdr:row>
      <xdr:rowOff>0</xdr:rowOff>
    </xdr:from>
    <xdr:ext cx="160034" cy="160034"/>
    <xdr:pic>
      <xdr:nvPicPr>
        <xdr:cNvPr id="61" name="Afbeelding 60">
          <a:extLst>
            <a:ext uri="{FF2B5EF4-FFF2-40B4-BE49-F238E27FC236}">
              <a16:creationId xmlns:a16="http://schemas.microsoft.com/office/drawing/2014/main" id="{947A8C8A-A98F-4574-95D9-26C2F085CF3C}"/>
            </a:ext>
          </a:extLst>
        </xdr:cNvPr>
        <xdr:cNvPicPr>
          <a:picLocks noChangeAspect="1"/>
        </xdr:cNvPicPr>
      </xdr:nvPicPr>
      <xdr:blipFill>
        <a:blip xmlns:r="http://schemas.openxmlformats.org/officeDocument/2006/relationships" r:embed="rId1"/>
        <a:stretch>
          <a:fillRect/>
        </a:stretch>
      </xdr:blipFill>
      <xdr:spPr>
        <a:xfrm>
          <a:off x="11681460" y="21701760"/>
          <a:ext cx="160034" cy="160034"/>
        </a:xfrm>
        <a:prstGeom prst="rect">
          <a:avLst/>
        </a:prstGeom>
      </xdr:spPr>
    </xdr:pic>
    <xdr:clientData/>
  </xdr:oneCellAnchor>
  <xdr:oneCellAnchor>
    <xdr:from>
      <xdr:col>19</xdr:col>
      <xdr:colOff>0</xdr:colOff>
      <xdr:row>93</xdr:row>
      <xdr:rowOff>0</xdr:rowOff>
    </xdr:from>
    <xdr:ext cx="160034" cy="160034"/>
    <xdr:pic>
      <xdr:nvPicPr>
        <xdr:cNvPr id="62" name="Afbeelding 61">
          <a:extLst>
            <a:ext uri="{FF2B5EF4-FFF2-40B4-BE49-F238E27FC236}">
              <a16:creationId xmlns:a16="http://schemas.microsoft.com/office/drawing/2014/main" id="{DF0A7A6D-6846-4138-92B1-3546EC1691C1}"/>
            </a:ext>
          </a:extLst>
        </xdr:cNvPr>
        <xdr:cNvPicPr>
          <a:picLocks noChangeAspect="1"/>
        </xdr:cNvPicPr>
      </xdr:nvPicPr>
      <xdr:blipFill>
        <a:blip xmlns:r="http://schemas.openxmlformats.org/officeDocument/2006/relationships" r:embed="rId1"/>
        <a:stretch>
          <a:fillRect/>
        </a:stretch>
      </xdr:blipFill>
      <xdr:spPr>
        <a:xfrm>
          <a:off x="11681460" y="22677120"/>
          <a:ext cx="160034" cy="160034"/>
        </a:xfrm>
        <a:prstGeom prst="rect">
          <a:avLst/>
        </a:prstGeom>
      </xdr:spPr>
    </xdr:pic>
    <xdr:clientData/>
  </xdr:oneCellAnchor>
  <xdr:oneCellAnchor>
    <xdr:from>
      <xdr:col>19</xdr:col>
      <xdr:colOff>0</xdr:colOff>
      <xdr:row>93</xdr:row>
      <xdr:rowOff>0</xdr:rowOff>
    </xdr:from>
    <xdr:ext cx="160034" cy="160034"/>
    <xdr:pic>
      <xdr:nvPicPr>
        <xdr:cNvPr id="63" name="Afbeelding 62">
          <a:extLst>
            <a:ext uri="{FF2B5EF4-FFF2-40B4-BE49-F238E27FC236}">
              <a16:creationId xmlns:a16="http://schemas.microsoft.com/office/drawing/2014/main" id="{49407981-9629-4323-83EB-1BC8AB5F312F}"/>
            </a:ext>
          </a:extLst>
        </xdr:cNvPr>
        <xdr:cNvPicPr>
          <a:picLocks noChangeAspect="1"/>
        </xdr:cNvPicPr>
      </xdr:nvPicPr>
      <xdr:blipFill>
        <a:blip xmlns:r="http://schemas.openxmlformats.org/officeDocument/2006/relationships" r:embed="rId1"/>
        <a:stretch>
          <a:fillRect/>
        </a:stretch>
      </xdr:blipFill>
      <xdr:spPr>
        <a:xfrm>
          <a:off x="11681460" y="22677120"/>
          <a:ext cx="160034" cy="160034"/>
        </a:xfrm>
        <a:prstGeom prst="rect">
          <a:avLst/>
        </a:prstGeom>
      </xdr:spPr>
    </xdr:pic>
    <xdr:clientData/>
  </xdr:oneCellAnchor>
  <xdr:oneCellAnchor>
    <xdr:from>
      <xdr:col>19</xdr:col>
      <xdr:colOff>0</xdr:colOff>
      <xdr:row>93</xdr:row>
      <xdr:rowOff>0</xdr:rowOff>
    </xdr:from>
    <xdr:ext cx="160034" cy="160034"/>
    <xdr:pic>
      <xdr:nvPicPr>
        <xdr:cNvPr id="64" name="Afbeelding 63">
          <a:extLst>
            <a:ext uri="{FF2B5EF4-FFF2-40B4-BE49-F238E27FC236}">
              <a16:creationId xmlns:a16="http://schemas.microsoft.com/office/drawing/2014/main" id="{27047AA4-C7D9-43F0-A635-8979009098CC}"/>
            </a:ext>
          </a:extLst>
        </xdr:cNvPr>
        <xdr:cNvPicPr>
          <a:picLocks noChangeAspect="1"/>
        </xdr:cNvPicPr>
      </xdr:nvPicPr>
      <xdr:blipFill>
        <a:blip xmlns:r="http://schemas.openxmlformats.org/officeDocument/2006/relationships" r:embed="rId1"/>
        <a:stretch>
          <a:fillRect/>
        </a:stretch>
      </xdr:blipFill>
      <xdr:spPr>
        <a:xfrm>
          <a:off x="11681460" y="22677120"/>
          <a:ext cx="160034" cy="160034"/>
        </a:xfrm>
        <a:prstGeom prst="rect">
          <a:avLst/>
        </a:prstGeom>
      </xdr:spPr>
    </xdr:pic>
    <xdr:clientData/>
  </xdr:oneCellAnchor>
  <xdr:oneCellAnchor>
    <xdr:from>
      <xdr:col>19</xdr:col>
      <xdr:colOff>0</xdr:colOff>
      <xdr:row>97</xdr:row>
      <xdr:rowOff>0</xdr:rowOff>
    </xdr:from>
    <xdr:ext cx="160034" cy="160034"/>
    <xdr:pic>
      <xdr:nvPicPr>
        <xdr:cNvPr id="65" name="Afbeelding 64">
          <a:extLst>
            <a:ext uri="{FF2B5EF4-FFF2-40B4-BE49-F238E27FC236}">
              <a16:creationId xmlns:a16="http://schemas.microsoft.com/office/drawing/2014/main" id="{B165835A-D3EE-452B-B13A-98CB2DADED00}"/>
            </a:ext>
          </a:extLst>
        </xdr:cNvPr>
        <xdr:cNvPicPr>
          <a:picLocks noChangeAspect="1"/>
        </xdr:cNvPicPr>
      </xdr:nvPicPr>
      <xdr:blipFill>
        <a:blip xmlns:r="http://schemas.openxmlformats.org/officeDocument/2006/relationships" r:embed="rId1"/>
        <a:stretch>
          <a:fillRect/>
        </a:stretch>
      </xdr:blipFill>
      <xdr:spPr>
        <a:xfrm>
          <a:off x="11681460" y="23652480"/>
          <a:ext cx="160034" cy="160034"/>
        </a:xfrm>
        <a:prstGeom prst="rect">
          <a:avLst/>
        </a:prstGeom>
      </xdr:spPr>
    </xdr:pic>
    <xdr:clientData/>
  </xdr:oneCellAnchor>
  <xdr:oneCellAnchor>
    <xdr:from>
      <xdr:col>19</xdr:col>
      <xdr:colOff>0</xdr:colOff>
      <xdr:row>97</xdr:row>
      <xdr:rowOff>0</xdr:rowOff>
    </xdr:from>
    <xdr:ext cx="160034" cy="160034"/>
    <xdr:pic>
      <xdr:nvPicPr>
        <xdr:cNvPr id="66" name="Afbeelding 65">
          <a:extLst>
            <a:ext uri="{FF2B5EF4-FFF2-40B4-BE49-F238E27FC236}">
              <a16:creationId xmlns:a16="http://schemas.microsoft.com/office/drawing/2014/main" id="{906A64E3-C920-4ED0-B653-FFDC92B0931A}"/>
            </a:ext>
          </a:extLst>
        </xdr:cNvPr>
        <xdr:cNvPicPr>
          <a:picLocks noChangeAspect="1"/>
        </xdr:cNvPicPr>
      </xdr:nvPicPr>
      <xdr:blipFill>
        <a:blip xmlns:r="http://schemas.openxmlformats.org/officeDocument/2006/relationships" r:embed="rId1"/>
        <a:stretch>
          <a:fillRect/>
        </a:stretch>
      </xdr:blipFill>
      <xdr:spPr>
        <a:xfrm>
          <a:off x="11681460" y="23652480"/>
          <a:ext cx="160034" cy="160034"/>
        </a:xfrm>
        <a:prstGeom prst="rect">
          <a:avLst/>
        </a:prstGeom>
      </xdr:spPr>
    </xdr:pic>
    <xdr:clientData/>
  </xdr:oneCellAnchor>
  <xdr:oneCellAnchor>
    <xdr:from>
      <xdr:col>19</xdr:col>
      <xdr:colOff>0</xdr:colOff>
      <xdr:row>97</xdr:row>
      <xdr:rowOff>0</xdr:rowOff>
    </xdr:from>
    <xdr:ext cx="160034" cy="160034"/>
    <xdr:pic>
      <xdr:nvPicPr>
        <xdr:cNvPr id="67" name="Afbeelding 66">
          <a:extLst>
            <a:ext uri="{FF2B5EF4-FFF2-40B4-BE49-F238E27FC236}">
              <a16:creationId xmlns:a16="http://schemas.microsoft.com/office/drawing/2014/main" id="{1E0EE454-06B1-4E54-8596-5009B14D1D73}"/>
            </a:ext>
          </a:extLst>
        </xdr:cNvPr>
        <xdr:cNvPicPr>
          <a:picLocks noChangeAspect="1"/>
        </xdr:cNvPicPr>
      </xdr:nvPicPr>
      <xdr:blipFill>
        <a:blip xmlns:r="http://schemas.openxmlformats.org/officeDocument/2006/relationships" r:embed="rId1"/>
        <a:stretch>
          <a:fillRect/>
        </a:stretch>
      </xdr:blipFill>
      <xdr:spPr>
        <a:xfrm>
          <a:off x="11681460" y="23652480"/>
          <a:ext cx="160034" cy="160034"/>
        </a:xfrm>
        <a:prstGeom prst="rect">
          <a:avLst/>
        </a:prstGeom>
      </xdr:spPr>
    </xdr:pic>
    <xdr:clientData/>
  </xdr:oneCellAnchor>
  <xdr:oneCellAnchor>
    <xdr:from>
      <xdr:col>19</xdr:col>
      <xdr:colOff>0</xdr:colOff>
      <xdr:row>101</xdr:row>
      <xdr:rowOff>0</xdr:rowOff>
    </xdr:from>
    <xdr:ext cx="160034" cy="160034"/>
    <xdr:pic>
      <xdr:nvPicPr>
        <xdr:cNvPr id="68" name="Afbeelding 67">
          <a:extLst>
            <a:ext uri="{FF2B5EF4-FFF2-40B4-BE49-F238E27FC236}">
              <a16:creationId xmlns:a16="http://schemas.microsoft.com/office/drawing/2014/main" id="{B669883B-7580-474C-9B8C-D54A08E314DA}"/>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69" name="Afbeelding 68">
          <a:extLst>
            <a:ext uri="{FF2B5EF4-FFF2-40B4-BE49-F238E27FC236}">
              <a16:creationId xmlns:a16="http://schemas.microsoft.com/office/drawing/2014/main" id="{D4C99257-AAEF-41DA-8F4A-97FA5EF09EFA}"/>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70" name="Afbeelding 69">
          <a:extLst>
            <a:ext uri="{FF2B5EF4-FFF2-40B4-BE49-F238E27FC236}">
              <a16:creationId xmlns:a16="http://schemas.microsoft.com/office/drawing/2014/main" id="{6B4B3E13-B00F-4A6A-B13E-FCF39166D7DD}"/>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71" name="Afbeelding 70">
          <a:extLst>
            <a:ext uri="{FF2B5EF4-FFF2-40B4-BE49-F238E27FC236}">
              <a16:creationId xmlns:a16="http://schemas.microsoft.com/office/drawing/2014/main" id="{61C90E15-2DDE-4BA5-96CD-CC9314332BB4}"/>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72" name="Afbeelding 71">
          <a:extLst>
            <a:ext uri="{FF2B5EF4-FFF2-40B4-BE49-F238E27FC236}">
              <a16:creationId xmlns:a16="http://schemas.microsoft.com/office/drawing/2014/main" id="{5CC15CBB-86EB-4667-A85E-EC3D3BB2F0FD}"/>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73" name="Afbeelding 72">
          <a:extLst>
            <a:ext uri="{FF2B5EF4-FFF2-40B4-BE49-F238E27FC236}">
              <a16:creationId xmlns:a16="http://schemas.microsoft.com/office/drawing/2014/main" id="{6396E344-D050-4C93-B50C-E58BC9603E7A}"/>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74" name="Afbeelding 73">
          <a:extLst>
            <a:ext uri="{FF2B5EF4-FFF2-40B4-BE49-F238E27FC236}">
              <a16:creationId xmlns:a16="http://schemas.microsoft.com/office/drawing/2014/main" id="{B9FE142F-71F5-4C36-B161-398641790C64}"/>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75" name="Afbeelding 74">
          <a:extLst>
            <a:ext uri="{FF2B5EF4-FFF2-40B4-BE49-F238E27FC236}">
              <a16:creationId xmlns:a16="http://schemas.microsoft.com/office/drawing/2014/main" id="{14023C9F-2063-4618-9459-5987722CE485}"/>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76" name="Afbeelding 75">
          <a:extLst>
            <a:ext uri="{FF2B5EF4-FFF2-40B4-BE49-F238E27FC236}">
              <a16:creationId xmlns:a16="http://schemas.microsoft.com/office/drawing/2014/main" id="{F9E81D8A-F285-4EDF-B653-4CB068E9222F}"/>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77" name="Afbeelding 76">
          <a:extLst>
            <a:ext uri="{FF2B5EF4-FFF2-40B4-BE49-F238E27FC236}">
              <a16:creationId xmlns:a16="http://schemas.microsoft.com/office/drawing/2014/main" id="{DEE27390-66D1-412B-8D73-096A38B0274A}"/>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78" name="Afbeelding 77">
          <a:extLst>
            <a:ext uri="{FF2B5EF4-FFF2-40B4-BE49-F238E27FC236}">
              <a16:creationId xmlns:a16="http://schemas.microsoft.com/office/drawing/2014/main" id="{632213C2-BC58-4F59-8E2B-5AFF5C9E301D}"/>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79" name="Afbeelding 78">
          <a:extLst>
            <a:ext uri="{FF2B5EF4-FFF2-40B4-BE49-F238E27FC236}">
              <a16:creationId xmlns:a16="http://schemas.microsoft.com/office/drawing/2014/main" id="{F47BAE83-5850-4E4C-9C8B-CB30C9598F82}"/>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80" name="Afbeelding 79">
          <a:extLst>
            <a:ext uri="{FF2B5EF4-FFF2-40B4-BE49-F238E27FC236}">
              <a16:creationId xmlns:a16="http://schemas.microsoft.com/office/drawing/2014/main" id="{0A2EB8CF-8DC6-40DF-B6AC-BBCA34936119}"/>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81" name="Afbeelding 80">
          <a:extLst>
            <a:ext uri="{FF2B5EF4-FFF2-40B4-BE49-F238E27FC236}">
              <a16:creationId xmlns:a16="http://schemas.microsoft.com/office/drawing/2014/main" id="{8F176949-9856-4069-9F64-B5B25EE19A7B}"/>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82" name="Afbeelding 81">
          <a:extLst>
            <a:ext uri="{FF2B5EF4-FFF2-40B4-BE49-F238E27FC236}">
              <a16:creationId xmlns:a16="http://schemas.microsoft.com/office/drawing/2014/main" id="{BE30C45B-1F08-46E2-ADE2-CFB39EC1565E}"/>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83" name="Afbeelding 82">
          <a:extLst>
            <a:ext uri="{FF2B5EF4-FFF2-40B4-BE49-F238E27FC236}">
              <a16:creationId xmlns:a16="http://schemas.microsoft.com/office/drawing/2014/main" id="{41B0448A-1E46-4FA9-AC80-DBCC142E07C6}"/>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84" name="Afbeelding 83">
          <a:extLst>
            <a:ext uri="{FF2B5EF4-FFF2-40B4-BE49-F238E27FC236}">
              <a16:creationId xmlns:a16="http://schemas.microsoft.com/office/drawing/2014/main" id="{426945B6-7453-4BA0-8682-22DCEEEB2EC0}"/>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85" name="Afbeelding 84">
          <a:extLst>
            <a:ext uri="{FF2B5EF4-FFF2-40B4-BE49-F238E27FC236}">
              <a16:creationId xmlns:a16="http://schemas.microsoft.com/office/drawing/2014/main" id="{760FBE41-4ADD-427F-B0C1-688A18092171}"/>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86" name="Afbeelding 85">
          <a:extLst>
            <a:ext uri="{FF2B5EF4-FFF2-40B4-BE49-F238E27FC236}">
              <a16:creationId xmlns:a16="http://schemas.microsoft.com/office/drawing/2014/main" id="{A894D9B7-2D5C-4E3A-8161-1DCC27F3AA8F}"/>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87" name="Afbeelding 86">
          <a:extLst>
            <a:ext uri="{FF2B5EF4-FFF2-40B4-BE49-F238E27FC236}">
              <a16:creationId xmlns:a16="http://schemas.microsoft.com/office/drawing/2014/main" id="{95ADD2F3-0731-4095-9027-7ED77A24A9E8}"/>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88" name="Afbeelding 87">
          <a:extLst>
            <a:ext uri="{FF2B5EF4-FFF2-40B4-BE49-F238E27FC236}">
              <a16:creationId xmlns:a16="http://schemas.microsoft.com/office/drawing/2014/main" id="{EC79D960-5082-4C74-8640-ABA1F33D31DB}"/>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89" name="Afbeelding 88">
          <a:extLst>
            <a:ext uri="{FF2B5EF4-FFF2-40B4-BE49-F238E27FC236}">
              <a16:creationId xmlns:a16="http://schemas.microsoft.com/office/drawing/2014/main" id="{3BEA7738-3AA3-445F-B703-94C238FEAD97}"/>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90" name="Afbeelding 89">
          <a:extLst>
            <a:ext uri="{FF2B5EF4-FFF2-40B4-BE49-F238E27FC236}">
              <a16:creationId xmlns:a16="http://schemas.microsoft.com/office/drawing/2014/main" id="{99655638-4AD2-4852-BFAF-D1AF14475BD6}"/>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91" name="Afbeelding 90">
          <a:extLst>
            <a:ext uri="{FF2B5EF4-FFF2-40B4-BE49-F238E27FC236}">
              <a16:creationId xmlns:a16="http://schemas.microsoft.com/office/drawing/2014/main" id="{A7C905CC-85A4-4FD7-BA02-8078EC91D9C1}"/>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92" name="Afbeelding 91">
          <a:extLst>
            <a:ext uri="{FF2B5EF4-FFF2-40B4-BE49-F238E27FC236}">
              <a16:creationId xmlns:a16="http://schemas.microsoft.com/office/drawing/2014/main" id="{03E4E36B-5F48-4E0A-BEED-8B3C83B8B82F}"/>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93" name="Afbeelding 92">
          <a:extLst>
            <a:ext uri="{FF2B5EF4-FFF2-40B4-BE49-F238E27FC236}">
              <a16:creationId xmlns:a16="http://schemas.microsoft.com/office/drawing/2014/main" id="{570DE067-4668-43C3-8809-F78616C4CD50}"/>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94" name="Afbeelding 93">
          <a:extLst>
            <a:ext uri="{FF2B5EF4-FFF2-40B4-BE49-F238E27FC236}">
              <a16:creationId xmlns:a16="http://schemas.microsoft.com/office/drawing/2014/main" id="{F8D69A40-83F8-4B20-BE70-9B18FE300D8B}"/>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95" name="Afbeelding 94">
          <a:extLst>
            <a:ext uri="{FF2B5EF4-FFF2-40B4-BE49-F238E27FC236}">
              <a16:creationId xmlns:a16="http://schemas.microsoft.com/office/drawing/2014/main" id="{C7E2B9B3-6D8C-429C-9FB1-99502DC5D94B}"/>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96" name="Afbeelding 95">
          <a:extLst>
            <a:ext uri="{FF2B5EF4-FFF2-40B4-BE49-F238E27FC236}">
              <a16:creationId xmlns:a16="http://schemas.microsoft.com/office/drawing/2014/main" id="{5249072B-612E-48BA-8B55-6DC10C51B7DD}"/>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97" name="Afbeelding 96">
          <a:extLst>
            <a:ext uri="{FF2B5EF4-FFF2-40B4-BE49-F238E27FC236}">
              <a16:creationId xmlns:a16="http://schemas.microsoft.com/office/drawing/2014/main" id="{C25DDF2D-8043-472D-A883-26E01342DED9}"/>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98" name="Afbeelding 97">
          <a:extLst>
            <a:ext uri="{FF2B5EF4-FFF2-40B4-BE49-F238E27FC236}">
              <a16:creationId xmlns:a16="http://schemas.microsoft.com/office/drawing/2014/main" id="{3F41FE91-2471-4C93-A0A0-DE48121ECC7C}"/>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99" name="Afbeelding 98">
          <a:extLst>
            <a:ext uri="{FF2B5EF4-FFF2-40B4-BE49-F238E27FC236}">
              <a16:creationId xmlns:a16="http://schemas.microsoft.com/office/drawing/2014/main" id="{978D7ADA-ACF8-42F1-95ED-1AE4722968FC}"/>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100" name="Afbeelding 99">
          <a:extLst>
            <a:ext uri="{FF2B5EF4-FFF2-40B4-BE49-F238E27FC236}">
              <a16:creationId xmlns:a16="http://schemas.microsoft.com/office/drawing/2014/main" id="{988E931D-052A-4851-AFAF-C294022E721E}"/>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101" name="Afbeelding 100">
          <a:extLst>
            <a:ext uri="{FF2B5EF4-FFF2-40B4-BE49-F238E27FC236}">
              <a16:creationId xmlns:a16="http://schemas.microsoft.com/office/drawing/2014/main" id="{A4C2D89C-88A6-4C11-AC0E-126551B2BD48}"/>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102" name="Afbeelding 101">
          <a:extLst>
            <a:ext uri="{FF2B5EF4-FFF2-40B4-BE49-F238E27FC236}">
              <a16:creationId xmlns:a16="http://schemas.microsoft.com/office/drawing/2014/main" id="{12D8B4B1-7FCE-4757-8FBD-9F6CFFF45CC6}"/>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103" name="Afbeelding 102">
          <a:extLst>
            <a:ext uri="{FF2B5EF4-FFF2-40B4-BE49-F238E27FC236}">
              <a16:creationId xmlns:a16="http://schemas.microsoft.com/office/drawing/2014/main" id="{A16F219F-D180-4047-821A-DF8CF87A4C8A}"/>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104" name="Afbeelding 103">
          <a:extLst>
            <a:ext uri="{FF2B5EF4-FFF2-40B4-BE49-F238E27FC236}">
              <a16:creationId xmlns:a16="http://schemas.microsoft.com/office/drawing/2014/main" id="{DDE91FFD-FCCC-4DB3-AE34-EBF8569ADC30}"/>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105" name="Afbeelding 104">
          <a:extLst>
            <a:ext uri="{FF2B5EF4-FFF2-40B4-BE49-F238E27FC236}">
              <a16:creationId xmlns:a16="http://schemas.microsoft.com/office/drawing/2014/main" id="{07C5F084-1621-45AD-A465-E6E58016E3C9}"/>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106" name="Afbeelding 105">
          <a:extLst>
            <a:ext uri="{FF2B5EF4-FFF2-40B4-BE49-F238E27FC236}">
              <a16:creationId xmlns:a16="http://schemas.microsoft.com/office/drawing/2014/main" id="{F3EDB54D-591C-42BA-8A75-241409D9E2BF}"/>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107" name="Afbeelding 106">
          <a:extLst>
            <a:ext uri="{FF2B5EF4-FFF2-40B4-BE49-F238E27FC236}">
              <a16:creationId xmlns:a16="http://schemas.microsoft.com/office/drawing/2014/main" id="{4BE132D6-6C0B-4E53-BA75-E8BD585F32AD}"/>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108" name="Afbeelding 107">
          <a:extLst>
            <a:ext uri="{FF2B5EF4-FFF2-40B4-BE49-F238E27FC236}">
              <a16:creationId xmlns:a16="http://schemas.microsoft.com/office/drawing/2014/main" id="{8A23D081-45F8-47A3-81C5-47C2DFBD2D04}"/>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109" name="Afbeelding 108">
          <a:extLst>
            <a:ext uri="{FF2B5EF4-FFF2-40B4-BE49-F238E27FC236}">
              <a16:creationId xmlns:a16="http://schemas.microsoft.com/office/drawing/2014/main" id="{A9DF0DCC-CA7B-4B7F-AC5C-ADBD5756260F}"/>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oneCellAnchor>
    <xdr:from>
      <xdr:col>19</xdr:col>
      <xdr:colOff>0</xdr:colOff>
      <xdr:row>101</xdr:row>
      <xdr:rowOff>0</xdr:rowOff>
    </xdr:from>
    <xdr:ext cx="160034" cy="160034"/>
    <xdr:pic>
      <xdr:nvPicPr>
        <xdr:cNvPr id="110" name="Afbeelding 109">
          <a:extLst>
            <a:ext uri="{FF2B5EF4-FFF2-40B4-BE49-F238E27FC236}">
              <a16:creationId xmlns:a16="http://schemas.microsoft.com/office/drawing/2014/main" id="{9722B864-D358-4154-A795-21CC22607F19}"/>
            </a:ext>
          </a:extLst>
        </xdr:cNvPr>
        <xdr:cNvPicPr>
          <a:picLocks noChangeAspect="1"/>
        </xdr:cNvPicPr>
      </xdr:nvPicPr>
      <xdr:blipFill>
        <a:blip xmlns:r="http://schemas.openxmlformats.org/officeDocument/2006/relationships" r:embed="rId1"/>
        <a:stretch>
          <a:fillRect/>
        </a:stretch>
      </xdr:blipFill>
      <xdr:spPr>
        <a:xfrm>
          <a:off x="11681460" y="24627840"/>
          <a:ext cx="160034" cy="160034"/>
        </a:xfrm>
        <a:prstGeom prst="rect">
          <a:avLst/>
        </a:prstGeom>
      </xdr:spPr>
    </xdr:pic>
    <xdr:clientData/>
  </xdr:one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B909C-C882-48B7-9C75-C5A292AC1C2F}">
  <dimension ref="C1:AG50"/>
  <sheetViews>
    <sheetView tabSelected="1" topLeftCell="B1" workbookViewId="0">
      <selection activeCell="AB5" sqref="AB5:AB8"/>
    </sheetView>
  </sheetViews>
  <sheetFormatPr defaultRowHeight="13.2" x14ac:dyDescent="0.25"/>
  <cols>
    <col min="1" max="1" width="0" style="84" hidden="1" customWidth="1"/>
    <col min="2" max="2" width="4.6640625" style="84" customWidth="1"/>
    <col min="3" max="3" width="11.5546875" style="84" customWidth="1"/>
    <col min="4" max="4" width="11" style="84" customWidth="1"/>
    <col min="5" max="5" width="8.109375" style="84" hidden="1" customWidth="1"/>
    <col min="6" max="6" width="12" style="85" hidden="1" customWidth="1"/>
    <col min="7" max="7" width="3" style="84" hidden="1" customWidth="1"/>
    <col min="8" max="8" width="3" style="84" customWidth="1"/>
    <col min="9" max="9" width="5.6640625" style="84" customWidth="1"/>
    <col min="10" max="10" width="4.6640625" style="84" customWidth="1"/>
    <col min="11" max="11" width="11.5546875" style="84" customWidth="1"/>
    <col min="12" max="12" width="11" style="84" customWidth="1"/>
    <col min="13" max="13" width="8.77734375" style="84" hidden="1" customWidth="1"/>
    <col min="14" max="14" width="10.6640625" style="85" hidden="1" customWidth="1"/>
    <col min="15" max="15" width="3.6640625" style="84" hidden="1" customWidth="1"/>
    <col min="16" max="16" width="3" style="84" customWidth="1"/>
    <col min="17" max="17" width="5.6640625" style="84" customWidth="1"/>
    <col min="18" max="18" width="4.6640625" style="84" customWidth="1"/>
    <col min="19" max="19" width="11.5546875" style="84" customWidth="1"/>
    <col min="20" max="20" width="11" style="84" customWidth="1"/>
    <col min="21" max="21" width="8.77734375" style="84" hidden="1" customWidth="1"/>
    <col min="22" max="22" width="4.5546875" style="85" hidden="1" customWidth="1"/>
    <col min="23" max="23" width="3" style="84" hidden="1" customWidth="1"/>
    <col min="24" max="24" width="3" style="84" customWidth="1"/>
    <col min="25" max="25" width="5.6640625" style="84" customWidth="1"/>
    <col min="26" max="26" width="4.6640625" style="84" customWidth="1"/>
    <col min="27" max="27" width="11.5546875" style="84" customWidth="1"/>
    <col min="28" max="28" width="11" style="84" customWidth="1"/>
    <col min="29" max="29" width="8.77734375" style="84" hidden="1" customWidth="1"/>
    <col min="30" max="30" width="4.5546875" style="85" hidden="1" customWidth="1"/>
    <col min="31" max="31" width="3" style="84" bestFit="1" customWidth="1"/>
    <col min="32" max="32" width="3" style="84" customWidth="1"/>
    <col min="33" max="33" width="5.6640625" style="84" customWidth="1"/>
    <col min="34" max="16384" width="8.88671875" style="84"/>
  </cols>
  <sheetData>
    <row r="1" spans="3:33" ht="21" x14ac:dyDescent="0.4">
      <c r="C1" s="114" t="s">
        <v>345</v>
      </c>
    </row>
    <row r="3" spans="3:33" x14ac:dyDescent="0.25">
      <c r="C3" s="108" t="s">
        <v>339</v>
      </c>
      <c r="D3" s="88"/>
      <c r="E3" s="88"/>
      <c r="F3" s="89"/>
      <c r="G3" s="88"/>
      <c r="H3" s="88"/>
      <c r="I3" s="88"/>
      <c r="K3" s="108" t="s">
        <v>340</v>
      </c>
      <c r="L3" s="88"/>
      <c r="M3" s="88"/>
      <c r="N3" s="89"/>
      <c r="O3" s="88"/>
      <c r="P3" s="88"/>
      <c r="Q3" s="88"/>
      <c r="S3" s="108" t="s">
        <v>341</v>
      </c>
      <c r="T3" s="88"/>
      <c r="U3" s="88"/>
      <c r="V3" s="89"/>
      <c r="W3" s="88"/>
      <c r="X3" s="88"/>
      <c r="Y3" s="88"/>
      <c r="AA3" s="108" t="s">
        <v>342</v>
      </c>
      <c r="AB3" s="88"/>
      <c r="AC3" s="88"/>
      <c r="AD3" s="89"/>
      <c r="AE3" s="88"/>
      <c r="AF3" s="88"/>
      <c r="AG3" s="88"/>
    </row>
    <row r="4" spans="3:33" x14ac:dyDescent="0.25">
      <c r="C4" s="88"/>
      <c r="D4" s="88"/>
      <c r="E4" s="88"/>
      <c r="F4" s="89"/>
      <c r="G4" s="88"/>
      <c r="H4" s="88"/>
      <c r="I4" s="88"/>
      <c r="K4" s="88"/>
      <c r="L4" s="88"/>
      <c r="M4" s="88"/>
      <c r="N4" s="89"/>
      <c r="O4" s="88"/>
      <c r="P4" s="88"/>
      <c r="Q4" s="88"/>
      <c r="S4" s="88"/>
      <c r="T4" s="88"/>
      <c r="U4" s="88"/>
      <c r="V4" s="89"/>
      <c r="W4" s="88"/>
      <c r="X4" s="88"/>
      <c r="Y4" s="88"/>
      <c r="AA4" s="88"/>
      <c r="AB4" s="88"/>
      <c r="AC4" s="88"/>
      <c r="AD4" s="89"/>
      <c r="AE4" s="88"/>
      <c r="AF4" s="88"/>
      <c r="AG4" s="88"/>
    </row>
    <row r="5" spans="3:33" x14ac:dyDescent="0.25">
      <c r="C5" s="88" t="s">
        <v>309</v>
      </c>
      <c r="D5" s="109"/>
      <c r="E5" s="89" t="e">
        <f>VLOOKUP(D5,'KAVVV Records &amp; age-grading'!$A3:$B28,2,FALSE)</f>
        <v>#N/A</v>
      </c>
      <c r="F5" s="88"/>
      <c r="G5" s="88"/>
      <c r="H5" s="88"/>
      <c r="I5" s="88"/>
      <c r="K5" s="88" t="s">
        <v>309</v>
      </c>
      <c r="L5" s="109"/>
      <c r="M5" s="89" t="e">
        <f>VLOOKUP(L5,'KAVVV Records &amp; age-grading'!$A32:$B56,2,FALSE)</f>
        <v>#N/A</v>
      </c>
      <c r="N5" s="88"/>
      <c r="O5" s="88"/>
      <c r="P5" s="88"/>
      <c r="Q5" s="88"/>
      <c r="S5" s="88" t="s">
        <v>309</v>
      </c>
      <c r="T5" s="109"/>
      <c r="U5" s="89" t="e">
        <f>VLOOKUP(T5,'KAVVV Records &amp; age-grading'!$A22:$B28,2,FALSE)</f>
        <v>#N/A</v>
      </c>
      <c r="V5" s="88"/>
      <c r="W5" s="88"/>
      <c r="X5" s="88"/>
      <c r="Y5" s="88"/>
      <c r="AA5" s="88" t="s">
        <v>309</v>
      </c>
      <c r="AB5" s="109"/>
      <c r="AC5" s="89" t="e">
        <f>VLOOKUP(AB5,'KAVVV Records &amp; age-grading'!$A32:$B56,2,FALSE)</f>
        <v>#N/A</v>
      </c>
      <c r="AD5" s="88"/>
      <c r="AE5" s="88"/>
      <c r="AF5" s="88"/>
      <c r="AG5" s="88"/>
    </row>
    <row r="6" spans="3:33" x14ac:dyDescent="0.25">
      <c r="C6" s="88" t="s">
        <v>308</v>
      </c>
      <c r="D6" s="110"/>
      <c r="E6" s="89"/>
      <c r="F6" s="88"/>
      <c r="G6" s="88"/>
      <c r="H6" s="88"/>
      <c r="I6" s="88"/>
      <c r="K6" s="88" t="s">
        <v>308</v>
      </c>
      <c r="L6" s="110"/>
      <c r="M6" s="89"/>
      <c r="N6" s="88"/>
      <c r="O6" s="88"/>
      <c r="P6" s="88"/>
      <c r="Q6" s="88"/>
      <c r="S6" s="88" t="s">
        <v>308</v>
      </c>
      <c r="T6" s="110"/>
      <c r="U6" s="89"/>
      <c r="V6" s="88"/>
      <c r="W6" s="88"/>
      <c r="X6" s="88"/>
      <c r="Y6" s="88"/>
      <c r="AA6" s="88" t="s">
        <v>308</v>
      </c>
      <c r="AB6" s="110"/>
      <c r="AC6" s="89"/>
      <c r="AD6" s="88"/>
      <c r="AE6" s="88"/>
      <c r="AF6" s="88"/>
      <c r="AG6" s="88"/>
    </row>
    <row r="7" spans="3:33" x14ac:dyDescent="0.25">
      <c r="C7" s="88" t="s">
        <v>311</v>
      </c>
      <c r="D7" s="110"/>
      <c r="E7" s="89" t="str">
        <f>IF(D7&lt;10,CONCATENATE("0",D7),D7)</f>
        <v>0</v>
      </c>
      <c r="F7" s="89">
        <f>IF(D8=0,IF(D9=0,D7-1,D7),D7)</f>
        <v>-1</v>
      </c>
      <c r="G7" s="89" t="str">
        <f>IF(F7&lt;10,CONCATENATE("0",F7),F7)</f>
        <v>0-1</v>
      </c>
      <c r="H7" s="88"/>
      <c r="I7" s="88"/>
      <c r="K7" s="88" t="s">
        <v>311</v>
      </c>
      <c r="L7" s="110"/>
      <c r="M7" s="89" t="str">
        <f>IF(L7&lt;10,CONCATENATE("0",L7),L7)</f>
        <v>0</v>
      </c>
      <c r="N7" s="89">
        <f>IF(L8=0,IF(L9=0,L7-1,L7),L7)</f>
        <v>-1</v>
      </c>
      <c r="O7" s="89" t="str">
        <f>IF(N7&lt;10,CONCATENATE("0",N7),N7)</f>
        <v>0-1</v>
      </c>
      <c r="P7" s="88"/>
      <c r="Q7" s="88"/>
      <c r="S7" s="88" t="s">
        <v>343</v>
      </c>
      <c r="T7" s="110"/>
      <c r="U7" s="89" t="str">
        <f>IF(T7&lt;10,CONCATENATE("0",T7),T7)</f>
        <v>0</v>
      </c>
      <c r="V7" s="89">
        <f>IF(T8=99,T7+1,T7)</f>
        <v>0</v>
      </c>
      <c r="W7" s="89" t="str">
        <f>IF(V7&lt;10,CONCATENATE("0",V7),V7)</f>
        <v>00</v>
      </c>
      <c r="X7" s="88"/>
      <c r="Y7" s="88"/>
      <c r="AA7" s="88" t="s">
        <v>343</v>
      </c>
      <c r="AB7" s="110"/>
      <c r="AC7" s="89" t="str">
        <f>IF(AB7&lt;10,CONCATENATE("0",AB7),AB7)</f>
        <v>0</v>
      </c>
      <c r="AD7" s="89">
        <f>IF(AB8=99,AB7+1,AB7)</f>
        <v>0</v>
      </c>
      <c r="AE7" s="89" t="str">
        <f>IF(AD7&lt;10,CONCATENATE("0",AD7),AD7)</f>
        <v>00</v>
      </c>
      <c r="AF7" s="88"/>
      <c r="AG7" s="88"/>
    </row>
    <row r="8" spans="3:33" x14ac:dyDescent="0.25">
      <c r="C8" s="88" t="s">
        <v>312</v>
      </c>
      <c r="D8" s="110"/>
      <c r="E8" s="89" t="str">
        <f>IF(D8&lt;10,CONCATENATE("0",D8),D8)</f>
        <v>0</v>
      </c>
      <c r="F8" s="89">
        <f>IF(D9=0,IF(D8=0,59,D8-1),D8)</f>
        <v>59</v>
      </c>
      <c r="G8" s="88">
        <f>IF(F8&lt;10,CONCATENATE("0",F8),F8)</f>
        <v>59</v>
      </c>
      <c r="H8" s="88"/>
      <c r="I8" s="88"/>
      <c r="K8" s="88" t="s">
        <v>312</v>
      </c>
      <c r="L8" s="110"/>
      <c r="M8" s="89" t="str">
        <f>IF(L8&lt;10,CONCATENATE("0",L8),L8)</f>
        <v>0</v>
      </c>
      <c r="N8" s="89">
        <f>IF(L9=0,IF(L8=0,59,L8-1),L8)</f>
        <v>59</v>
      </c>
      <c r="O8" s="88">
        <f>IF(N8&lt;10,CONCATENATE("0",N8),N8)</f>
        <v>59</v>
      </c>
      <c r="P8" s="88"/>
      <c r="Q8" s="88"/>
      <c r="S8" s="88" t="s">
        <v>344</v>
      </c>
      <c r="T8" s="110"/>
      <c r="U8" s="89" t="str">
        <f>IF(T8&lt;10,CONCATENATE("0",T8),T8)</f>
        <v>0</v>
      </c>
      <c r="V8" s="89">
        <f>IF(T8=99,0,T8+1)</f>
        <v>1</v>
      </c>
      <c r="W8" s="89" t="str">
        <f>IF(V8&lt;10,CONCATENATE("0",V8),V8)</f>
        <v>01</v>
      </c>
      <c r="X8" s="88"/>
      <c r="Y8" s="88"/>
      <c r="AA8" s="88" t="s">
        <v>344</v>
      </c>
      <c r="AB8" s="110"/>
      <c r="AC8" s="89" t="str">
        <f>IF(AB8&lt;10,CONCATENATE("0",AB8),AB8)</f>
        <v>0</v>
      </c>
      <c r="AD8" s="89">
        <f>IF(AB8=99,0,AB8+1)</f>
        <v>1</v>
      </c>
      <c r="AE8" s="89" t="str">
        <f>IF(AD8&lt;10,CONCATENATE("0",AD8),AD8)</f>
        <v>01</v>
      </c>
      <c r="AF8" s="88"/>
      <c r="AG8" s="88"/>
    </row>
    <row r="9" spans="3:33" x14ac:dyDescent="0.25">
      <c r="C9" s="88" t="s">
        <v>313</v>
      </c>
      <c r="D9" s="110"/>
      <c r="E9" s="89" t="str">
        <f>IF(D9&lt;10,CONCATENATE("0",D9),D9)</f>
        <v>0</v>
      </c>
      <c r="F9" s="89">
        <f>IF(D9=0,99,D9-1)</f>
        <v>99</v>
      </c>
      <c r="G9" s="89">
        <f>IF(F9&lt;10,CONCATENATE("0",F9),F9)</f>
        <v>99</v>
      </c>
      <c r="H9" s="88"/>
      <c r="I9" s="88"/>
      <c r="K9" s="88" t="s">
        <v>313</v>
      </c>
      <c r="L9" s="110"/>
      <c r="M9" s="89" t="str">
        <f>IF(L9&lt;10,CONCATENATE("0",L9),L9)</f>
        <v>0</v>
      </c>
      <c r="N9" s="89">
        <f>IF(L9=0,99,L9-1)</f>
        <v>99</v>
      </c>
      <c r="O9" s="89">
        <f>IF(N9&lt;10,CONCATENATE("0",N9),N9)</f>
        <v>99</v>
      </c>
      <c r="P9" s="88"/>
      <c r="Q9" s="88"/>
      <c r="S9" s="88"/>
      <c r="T9" s="88"/>
      <c r="U9" s="88"/>
      <c r="V9" s="88"/>
      <c r="W9" s="88"/>
      <c r="X9" s="88"/>
      <c r="Y9" s="88"/>
      <c r="AA9" s="88"/>
      <c r="AB9" s="88"/>
      <c r="AC9" s="88"/>
      <c r="AD9" s="88"/>
      <c r="AE9" s="88"/>
      <c r="AF9" s="88"/>
      <c r="AG9" s="88"/>
    </row>
    <row r="10" spans="3:33" x14ac:dyDescent="0.25">
      <c r="C10" s="88"/>
      <c r="D10" s="89"/>
      <c r="E10" s="90"/>
      <c r="F10" s="89"/>
      <c r="G10" s="88"/>
      <c r="H10" s="88"/>
      <c r="I10" s="88"/>
      <c r="K10" s="88"/>
      <c r="L10" s="89"/>
      <c r="M10" s="90"/>
      <c r="N10" s="89"/>
      <c r="O10" s="88"/>
      <c r="P10" s="88"/>
      <c r="Q10" s="88"/>
      <c r="S10" s="88"/>
      <c r="T10" s="89"/>
      <c r="U10" s="90"/>
      <c r="V10" s="89"/>
      <c r="W10" s="88"/>
      <c r="X10" s="88"/>
      <c r="Y10" s="88"/>
      <c r="AA10" s="88"/>
      <c r="AB10" s="89"/>
      <c r="AC10" s="90"/>
      <c r="AD10" s="89"/>
      <c r="AE10" s="88"/>
      <c r="AF10" s="88"/>
      <c r="AG10" s="88"/>
    </row>
    <row r="11" spans="3:33" x14ac:dyDescent="0.25">
      <c r="C11" s="88" t="s">
        <v>314</v>
      </c>
      <c r="D11" s="98" t="str">
        <f>IF(D6="","",HLOOKUP(CONCATENATE("M",D6),'KAVVV Records &amp; age-grading'!$C1:$Q1,1,TRUE))</f>
        <v/>
      </c>
      <c r="E11" s="90"/>
      <c r="F11" s="89"/>
      <c r="G11" s="88"/>
      <c r="H11" s="88"/>
      <c r="I11" s="88"/>
      <c r="K11" s="88" t="s">
        <v>314</v>
      </c>
      <c r="L11" s="98" t="str">
        <f>IF(L6="","",HLOOKUP(CONCATENATE("V",L6),'KAVVV Records &amp; age-grading'!$C2:$P2,1,TRUE))</f>
        <v/>
      </c>
      <c r="M11" s="90"/>
      <c r="N11" s="89"/>
      <c r="O11" s="88"/>
      <c r="P11" s="88"/>
      <c r="Q11" s="88"/>
      <c r="S11" s="88" t="s">
        <v>314</v>
      </c>
      <c r="T11" s="98" t="str">
        <f>IF(T6="","",HLOOKUP(CONCATENATE("M",T6),'KAVVV Records &amp; age-grading'!$C1:$P1,1,TRUE))</f>
        <v/>
      </c>
      <c r="U11" s="90"/>
      <c r="V11" s="89"/>
      <c r="W11" s="88"/>
      <c r="X11" s="88"/>
      <c r="Y11" s="88"/>
      <c r="AA11" s="88" t="s">
        <v>314</v>
      </c>
      <c r="AB11" s="98" t="str">
        <f>IF(AB6="","",HLOOKUP(CONCATENATE("V",AB6),'KAVVV Records &amp; age-grading'!$C2:$P2,1,TRUE))</f>
        <v/>
      </c>
      <c r="AC11" s="90"/>
      <c r="AD11" s="89"/>
      <c r="AE11" s="88"/>
      <c r="AF11" s="88"/>
      <c r="AG11" s="88"/>
    </row>
    <row r="12" spans="3:33" x14ac:dyDescent="0.25">
      <c r="C12" s="88" t="s">
        <v>9</v>
      </c>
      <c r="D12" s="134" t="str">
        <f>IF(D11="","",HLOOKUP(D11,'KAVVV Records &amp; age-grading'!$C1:$P29,E5+2,TRUE))</f>
        <v/>
      </c>
      <c r="E12" s="96"/>
      <c r="F12" s="91"/>
      <c r="G12" s="88"/>
      <c r="H12" s="88"/>
      <c r="I12" s="92"/>
      <c r="K12" s="88" t="s">
        <v>9</v>
      </c>
      <c r="L12" s="134" t="str">
        <f>IF(L11="","",HLOOKUP(L11,'KAVVV Records &amp; age-grading'!$C30:$P60,M5+2,TRUE))</f>
        <v/>
      </c>
      <c r="M12" s="96"/>
      <c r="N12" s="91"/>
      <c r="O12" s="88"/>
      <c r="P12" s="88"/>
      <c r="Q12" s="92"/>
      <c r="S12" s="88" t="s">
        <v>9</v>
      </c>
      <c r="T12" s="111" t="str">
        <f>IF(T11="","",HLOOKUP(T11,'KAVVV Records &amp; age-grading'!$C1:$P29,U5+2,TRUE))</f>
        <v/>
      </c>
      <c r="U12" s="96"/>
      <c r="V12" s="91"/>
      <c r="W12" s="88"/>
      <c r="X12" s="88"/>
      <c r="Y12" s="92"/>
      <c r="AA12" s="88" t="s">
        <v>9</v>
      </c>
      <c r="AB12" s="111" t="str">
        <f>IF(AB11="","",HLOOKUP(AB11,'KAVVV Records &amp; age-grading'!$C30:$P60,AC5+2,TRUE))</f>
        <v/>
      </c>
      <c r="AC12" s="96"/>
      <c r="AD12" s="91"/>
      <c r="AE12" s="88"/>
      <c r="AF12" s="88"/>
      <c r="AG12" s="92"/>
    </row>
    <row r="13" spans="3:33" x14ac:dyDescent="0.25">
      <c r="C13" s="88" t="s">
        <v>310</v>
      </c>
      <c r="D13" s="99" t="str">
        <f>IF(D7+D8+D9=0,"",CONCATENATE(E$7,":",E$8,",",E$9))</f>
        <v/>
      </c>
      <c r="E13" s="97" t="str">
        <f>CONCATENATE(G$7,":",G$8,",",G$9)</f>
        <v>0-1:59,99</v>
      </c>
      <c r="F13" s="89" t="e">
        <f>TIMEVALUE(E13)</f>
        <v>#VALUE!</v>
      </c>
      <c r="G13" s="88"/>
      <c r="H13" s="88"/>
      <c r="I13" s="94"/>
      <c r="K13" s="88" t="s">
        <v>310</v>
      </c>
      <c r="L13" s="99" t="str">
        <f>IF(L7+L8+L9=0,"",CONCATENATE(M$7,":",M$8,",",M$9))</f>
        <v/>
      </c>
      <c r="M13" s="97" t="str">
        <f>CONCATENATE(O$7,":",O$8,",",O$9)</f>
        <v>0-1:59,99</v>
      </c>
      <c r="N13" s="89" t="e">
        <f>TIMEVALUE(M13)</f>
        <v>#VALUE!</v>
      </c>
      <c r="O13" s="88"/>
      <c r="P13" s="88"/>
      <c r="Q13" s="94"/>
      <c r="S13" s="88" t="s">
        <v>310</v>
      </c>
      <c r="T13" s="111" t="str">
        <f>IF(T7+T8+T9=0,"",CONCATENATE(T$7,",",T$8))</f>
        <v/>
      </c>
      <c r="U13" s="97" t="str">
        <f>CONCATENATE(U$7,",",U$8)</f>
        <v>0,0</v>
      </c>
      <c r="V13" s="113">
        <f>VALUE(U13)</f>
        <v>0</v>
      </c>
      <c r="W13" s="88"/>
      <c r="X13" s="88"/>
      <c r="Y13" s="94"/>
      <c r="AA13" s="88" t="s">
        <v>310</v>
      </c>
      <c r="AB13" s="111" t="str">
        <f>IF(AB7+AB8+AB9=0,"",CONCATENATE(AB$7,",",AB$8))</f>
        <v/>
      </c>
      <c r="AC13" s="97" t="str">
        <f>CONCATENATE(AC$7,",",AC$8)</f>
        <v>0,0</v>
      </c>
      <c r="AD13" s="113">
        <f>VALUE(AC13)</f>
        <v>0</v>
      </c>
      <c r="AE13" s="88"/>
      <c r="AF13" s="88"/>
      <c r="AG13" s="94"/>
    </row>
    <row r="14" spans="3:33" x14ac:dyDescent="0.25">
      <c r="C14" s="88"/>
      <c r="D14" s="88"/>
      <c r="E14" s="90"/>
      <c r="F14" s="89"/>
      <c r="G14" s="88"/>
      <c r="H14" s="88"/>
      <c r="I14" s="88"/>
      <c r="K14" s="88"/>
      <c r="L14" s="88"/>
      <c r="M14" s="90"/>
      <c r="N14" s="89"/>
      <c r="O14" s="88"/>
      <c r="P14" s="88"/>
      <c r="Q14" s="88"/>
      <c r="S14" s="88"/>
      <c r="T14" s="88"/>
      <c r="U14" s="90"/>
      <c r="V14" s="89"/>
      <c r="W14" s="88"/>
      <c r="X14" s="88"/>
      <c r="Y14" s="88"/>
      <c r="AA14" s="88"/>
      <c r="AB14" s="88"/>
      <c r="AC14" s="90"/>
      <c r="AD14" s="89"/>
      <c r="AE14" s="88"/>
      <c r="AF14" s="88"/>
      <c r="AG14" s="88"/>
    </row>
    <row r="15" spans="3:33" ht="22.8" x14ac:dyDescent="0.4">
      <c r="C15" s="88" t="s">
        <v>316</v>
      </c>
      <c r="D15" s="101" t="str">
        <f>IF(D7+D8+D9=0,"",VLOOKUP(F13,F16:G23,2,TRUE))</f>
        <v/>
      </c>
      <c r="E15" s="88"/>
      <c r="F15" s="89"/>
      <c r="G15" s="88"/>
      <c r="H15" s="88"/>
      <c r="I15" s="88"/>
      <c r="K15" s="88" t="s">
        <v>316</v>
      </c>
      <c r="L15" s="101" t="str">
        <f>IF(L7+L8+L9=0,"",VLOOKUP(N13,N16:O23,2,TRUE))</f>
        <v/>
      </c>
      <c r="M15" s="88"/>
      <c r="N15" s="89"/>
      <c r="O15" s="88"/>
      <c r="P15" s="88"/>
      <c r="Q15" s="88"/>
      <c r="S15" s="88" t="s">
        <v>316</v>
      </c>
      <c r="T15" s="101" t="str">
        <f>IF(T7+T8+T9=0,"",VLOOKUP(V13,V16:W22,2,TRUE))</f>
        <v/>
      </c>
      <c r="U15" s="88"/>
      <c r="V15" s="89"/>
      <c r="W15" s="88"/>
      <c r="X15" s="88"/>
      <c r="Y15" s="88"/>
      <c r="AA15" s="88" t="s">
        <v>316</v>
      </c>
      <c r="AB15" s="101" t="str">
        <f>IF(AB7+AB8+AB9=0,"",VLOOKUP(AD13,AD16:AE22,2,TRUE))</f>
        <v/>
      </c>
      <c r="AC15" s="88"/>
      <c r="AD15" s="89"/>
      <c r="AE15" s="88"/>
      <c r="AF15" s="88"/>
      <c r="AG15" s="88"/>
    </row>
    <row r="16" spans="3:33" x14ac:dyDescent="0.25">
      <c r="C16" s="88"/>
      <c r="D16" s="93"/>
      <c r="E16" s="88"/>
      <c r="F16" s="89">
        <v>0</v>
      </c>
      <c r="G16" s="88">
        <v>11</v>
      </c>
      <c r="H16" s="88"/>
      <c r="I16" s="88"/>
      <c r="K16" s="88"/>
      <c r="L16" s="93"/>
      <c r="M16" s="88"/>
      <c r="N16" s="89">
        <v>0</v>
      </c>
      <c r="O16" s="88">
        <v>11</v>
      </c>
      <c r="P16" s="88"/>
      <c r="Q16" s="88"/>
      <c r="S16" s="88"/>
      <c r="T16" s="93"/>
      <c r="U16" s="88"/>
      <c r="V16" s="113">
        <v>0</v>
      </c>
      <c r="W16" s="88">
        <v>5</v>
      </c>
      <c r="X16" s="88"/>
      <c r="Y16" s="88"/>
      <c r="AA16" s="88"/>
      <c r="AB16" s="93"/>
      <c r="AC16" s="88"/>
      <c r="AD16" s="113">
        <v>0</v>
      </c>
      <c r="AE16" s="88">
        <v>5</v>
      </c>
      <c r="AF16" s="88"/>
      <c r="AG16" s="88"/>
    </row>
    <row r="17" spans="3:33" x14ac:dyDescent="0.25">
      <c r="C17" s="88" t="s">
        <v>317</v>
      </c>
      <c r="D17" s="94" t="str">
        <f>IF(D$12="","",D$12*E17)</f>
        <v/>
      </c>
      <c r="E17" s="90">
        <v>1</v>
      </c>
      <c r="F17" s="95" t="str">
        <f t="shared" ref="F17:F22" si="0">D17</f>
        <v/>
      </c>
      <c r="G17" s="88">
        <v>10</v>
      </c>
      <c r="H17" s="88"/>
      <c r="I17" s="115">
        <v>0</v>
      </c>
      <c r="J17" s="86"/>
      <c r="K17" s="88" t="s">
        <v>317</v>
      </c>
      <c r="L17" s="94" t="str">
        <f>IF(L$12="","",L$12*M17)</f>
        <v/>
      </c>
      <c r="M17" s="90">
        <v>1</v>
      </c>
      <c r="N17" s="95" t="str">
        <f t="shared" ref="N17:N22" si="1">L17</f>
        <v/>
      </c>
      <c r="O17" s="88">
        <v>10</v>
      </c>
      <c r="P17" s="88"/>
      <c r="Q17" s="100">
        <f>I17</f>
        <v>0</v>
      </c>
      <c r="S17" s="88" t="s">
        <v>317</v>
      </c>
      <c r="T17" s="112" t="str">
        <f t="shared" ref="T17:T22" si="2">IF(T$12="","",ROUND(T$12*U17,2))</f>
        <v/>
      </c>
      <c r="U17" s="90">
        <v>1</v>
      </c>
      <c r="V17" s="113" t="str">
        <f>T22</f>
        <v/>
      </c>
      <c r="W17" s="88">
        <v>6</v>
      </c>
      <c r="X17" s="88"/>
      <c r="Y17" s="115">
        <v>0</v>
      </c>
      <c r="AA17" s="88" t="s">
        <v>317</v>
      </c>
      <c r="AB17" s="112" t="str">
        <f t="shared" ref="AB17:AB22" si="3">IF(AB$12="","",ROUND(AB$12*AC17,2))</f>
        <v/>
      </c>
      <c r="AC17" s="90">
        <v>1</v>
      </c>
      <c r="AD17" s="113" t="str">
        <f>AB22</f>
        <v/>
      </c>
      <c r="AE17" s="88">
        <v>6</v>
      </c>
      <c r="AF17" s="88"/>
      <c r="AG17" s="100">
        <f>Y17</f>
        <v>0</v>
      </c>
    </row>
    <row r="18" spans="3:33" x14ac:dyDescent="0.25">
      <c r="C18" s="88" t="s">
        <v>318</v>
      </c>
      <c r="D18" s="94" t="str">
        <f t="shared" ref="D18:D22" si="4">IF(D$12="","",D$12*E18)</f>
        <v/>
      </c>
      <c r="E18" s="90">
        <f>1+I18</f>
        <v>1.04</v>
      </c>
      <c r="F18" s="95" t="str">
        <f t="shared" si="0"/>
        <v/>
      </c>
      <c r="G18" s="88">
        <v>9</v>
      </c>
      <c r="H18" s="88"/>
      <c r="I18" s="115">
        <v>0.04</v>
      </c>
      <c r="J18" s="86"/>
      <c r="K18" s="88" t="s">
        <v>318</v>
      </c>
      <c r="L18" s="94" t="str">
        <f t="shared" ref="L18:L22" si="5">IF(L$12="","",L$12*M18)</f>
        <v/>
      </c>
      <c r="M18" s="90">
        <f>1+Q18</f>
        <v>1.04</v>
      </c>
      <c r="N18" s="95" t="str">
        <f t="shared" si="1"/>
        <v/>
      </c>
      <c r="O18" s="88">
        <v>9</v>
      </c>
      <c r="P18" s="88"/>
      <c r="Q18" s="100">
        <f t="shared" ref="Q18:Q22" si="6">I18</f>
        <v>0.04</v>
      </c>
      <c r="S18" s="88" t="s">
        <v>318</v>
      </c>
      <c r="T18" s="112" t="str">
        <f t="shared" si="2"/>
        <v/>
      </c>
      <c r="U18" s="90">
        <f>1+Y18</f>
        <v>0.94</v>
      </c>
      <c r="V18" s="113" t="str">
        <f>T21</f>
        <v/>
      </c>
      <c r="W18" s="88">
        <v>7</v>
      </c>
      <c r="X18" s="88"/>
      <c r="Y18" s="115">
        <v>-0.06</v>
      </c>
      <c r="AA18" s="88" t="s">
        <v>318</v>
      </c>
      <c r="AB18" s="112" t="str">
        <f t="shared" si="3"/>
        <v/>
      </c>
      <c r="AC18" s="90">
        <f>1+AG18</f>
        <v>0.94</v>
      </c>
      <c r="AD18" s="113" t="str">
        <f>AB21</f>
        <v/>
      </c>
      <c r="AE18" s="88">
        <v>7</v>
      </c>
      <c r="AF18" s="88"/>
      <c r="AG18" s="100">
        <f t="shared" ref="AG18:AG22" si="7">Y18</f>
        <v>-0.06</v>
      </c>
    </row>
    <row r="19" spans="3:33" x14ac:dyDescent="0.25">
      <c r="C19" s="88" t="s">
        <v>319</v>
      </c>
      <c r="D19" s="94" t="str">
        <f t="shared" si="4"/>
        <v/>
      </c>
      <c r="E19" s="90">
        <f>1+I19</f>
        <v>1.0900000000000001</v>
      </c>
      <c r="F19" s="95" t="str">
        <f t="shared" si="0"/>
        <v/>
      </c>
      <c r="G19" s="88">
        <v>8</v>
      </c>
      <c r="H19" s="88"/>
      <c r="I19" s="115">
        <v>0.09</v>
      </c>
      <c r="J19" s="86"/>
      <c r="K19" s="88" t="s">
        <v>319</v>
      </c>
      <c r="L19" s="94" t="str">
        <f t="shared" si="5"/>
        <v/>
      </c>
      <c r="M19" s="90">
        <f>1+Q19</f>
        <v>1.0900000000000001</v>
      </c>
      <c r="N19" s="95" t="str">
        <f t="shared" si="1"/>
        <v/>
      </c>
      <c r="O19" s="88">
        <v>8</v>
      </c>
      <c r="P19" s="88"/>
      <c r="Q19" s="100">
        <f t="shared" si="6"/>
        <v>0.09</v>
      </c>
      <c r="S19" s="88" t="s">
        <v>319</v>
      </c>
      <c r="T19" s="112" t="str">
        <f t="shared" si="2"/>
        <v/>
      </c>
      <c r="U19" s="90">
        <f>1+Y19</f>
        <v>0.86499999999999999</v>
      </c>
      <c r="V19" s="113" t="str">
        <f>T20</f>
        <v/>
      </c>
      <c r="W19" s="88">
        <v>8</v>
      </c>
      <c r="X19" s="88"/>
      <c r="Y19" s="115">
        <v>-0.13500000000000001</v>
      </c>
      <c r="AA19" s="88" t="s">
        <v>319</v>
      </c>
      <c r="AB19" s="112" t="str">
        <f t="shared" si="3"/>
        <v/>
      </c>
      <c r="AC19" s="90">
        <f>1+AG19</f>
        <v>0.86499999999999999</v>
      </c>
      <c r="AD19" s="113" t="str">
        <f>AB20</f>
        <v/>
      </c>
      <c r="AE19" s="88">
        <v>8</v>
      </c>
      <c r="AF19" s="88"/>
      <c r="AG19" s="100">
        <f t="shared" si="7"/>
        <v>-0.13500000000000001</v>
      </c>
    </row>
    <row r="20" spans="3:33" x14ac:dyDescent="0.25">
      <c r="C20" s="88" t="s">
        <v>320</v>
      </c>
      <c r="D20" s="94" t="str">
        <f t="shared" si="4"/>
        <v/>
      </c>
      <c r="E20" s="90">
        <f>1+I20</f>
        <v>1.1499999999999999</v>
      </c>
      <c r="F20" s="95" t="str">
        <f t="shared" si="0"/>
        <v/>
      </c>
      <c r="G20" s="88">
        <v>7</v>
      </c>
      <c r="H20" s="88"/>
      <c r="I20" s="115">
        <v>0.15</v>
      </c>
      <c r="J20" s="86"/>
      <c r="K20" s="88" t="s">
        <v>320</v>
      </c>
      <c r="L20" s="94" t="str">
        <f t="shared" si="5"/>
        <v/>
      </c>
      <c r="M20" s="90">
        <f>1+Q20</f>
        <v>1.1499999999999999</v>
      </c>
      <c r="N20" s="95" t="str">
        <f t="shared" si="1"/>
        <v/>
      </c>
      <c r="O20" s="88">
        <v>7</v>
      </c>
      <c r="P20" s="88"/>
      <c r="Q20" s="100">
        <f t="shared" si="6"/>
        <v>0.15</v>
      </c>
      <c r="S20" s="88" t="s">
        <v>320</v>
      </c>
      <c r="T20" s="112" t="str">
        <f t="shared" si="2"/>
        <v/>
      </c>
      <c r="U20" s="90">
        <f>1+Y20</f>
        <v>0.77500000000000002</v>
      </c>
      <c r="V20" s="113" t="str">
        <f>T19</f>
        <v/>
      </c>
      <c r="W20" s="88">
        <v>9</v>
      </c>
      <c r="X20" s="88"/>
      <c r="Y20" s="115">
        <v>-0.22500000000000001</v>
      </c>
      <c r="AA20" s="88" t="s">
        <v>320</v>
      </c>
      <c r="AB20" s="112" t="str">
        <f t="shared" si="3"/>
        <v/>
      </c>
      <c r="AC20" s="90">
        <f>1+AG20</f>
        <v>0.77500000000000002</v>
      </c>
      <c r="AD20" s="113" t="str">
        <f>AB19</f>
        <v/>
      </c>
      <c r="AE20" s="88">
        <v>9</v>
      </c>
      <c r="AF20" s="88"/>
      <c r="AG20" s="100">
        <f t="shared" si="7"/>
        <v>-0.22500000000000001</v>
      </c>
    </row>
    <row r="21" spans="3:33" x14ac:dyDescent="0.25">
      <c r="C21" s="88" t="s">
        <v>321</v>
      </c>
      <c r="D21" s="94" t="str">
        <f t="shared" si="4"/>
        <v/>
      </c>
      <c r="E21" s="90">
        <f>1+I21</f>
        <v>1.22</v>
      </c>
      <c r="F21" s="95" t="str">
        <f t="shared" si="0"/>
        <v/>
      </c>
      <c r="G21" s="88">
        <v>6</v>
      </c>
      <c r="H21" s="88"/>
      <c r="I21" s="115">
        <v>0.22</v>
      </c>
      <c r="J21" s="86"/>
      <c r="K21" s="88" t="s">
        <v>321</v>
      </c>
      <c r="L21" s="94" t="str">
        <f t="shared" si="5"/>
        <v/>
      </c>
      <c r="M21" s="90">
        <f>1+Q21</f>
        <v>1.22</v>
      </c>
      <c r="N21" s="95" t="str">
        <f t="shared" si="1"/>
        <v/>
      </c>
      <c r="O21" s="88">
        <v>6</v>
      </c>
      <c r="P21" s="88"/>
      <c r="Q21" s="100">
        <f t="shared" si="6"/>
        <v>0.22</v>
      </c>
      <c r="S21" s="88" t="s">
        <v>321</v>
      </c>
      <c r="T21" s="112" t="str">
        <f t="shared" si="2"/>
        <v/>
      </c>
      <c r="U21" s="90">
        <f>1+Y21</f>
        <v>0.66999999999999993</v>
      </c>
      <c r="V21" s="113" t="str">
        <f>T18</f>
        <v/>
      </c>
      <c r="W21" s="88">
        <v>10</v>
      </c>
      <c r="X21" s="88"/>
      <c r="Y21" s="115">
        <v>-0.33</v>
      </c>
      <c r="AA21" s="88" t="s">
        <v>321</v>
      </c>
      <c r="AB21" s="112" t="str">
        <f t="shared" si="3"/>
        <v/>
      </c>
      <c r="AC21" s="90">
        <f>1+AG21</f>
        <v>0.66999999999999993</v>
      </c>
      <c r="AD21" s="113" t="str">
        <f>AB18</f>
        <v/>
      </c>
      <c r="AE21" s="88">
        <v>10</v>
      </c>
      <c r="AF21" s="88"/>
      <c r="AG21" s="100">
        <f t="shared" si="7"/>
        <v>-0.33</v>
      </c>
    </row>
    <row r="22" spans="3:33" x14ac:dyDescent="0.25">
      <c r="C22" s="88" t="s">
        <v>322</v>
      </c>
      <c r="D22" s="94" t="str">
        <f t="shared" si="4"/>
        <v/>
      </c>
      <c r="E22" s="90">
        <f>1+I22</f>
        <v>1.3</v>
      </c>
      <c r="F22" s="95" t="str">
        <f t="shared" si="0"/>
        <v/>
      </c>
      <c r="G22" s="88">
        <v>5</v>
      </c>
      <c r="H22" s="88"/>
      <c r="I22" s="115">
        <v>0.3</v>
      </c>
      <c r="J22" s="86"/>
      <c r="K22" s="88" t="s">
        <v>322</v>
      </c>
      <c r="L22" s="94" t="str">
        <f t="shared" si="5"/>
        <v/>
      </c>
      <c r="M22" s="90">
        <f>1+Q22</f>
        <v>1.3</v>
      </c>
      <c r="N22" s="95" t="str">
        <f t="shared" si="1"/>
        <v/>
      </c>
      <c r="O22" s="88">
        <v>5</v>
      </c>
      <c r="P22" s="88"/>
      <c r="Q22" s="100">
        <f t="shared" si="6"/>
        <v>0.3</v>
      </c>
      <c r="S22" s="88" t="s">
        <v>322</v>
      </c>
      <c r="T22" s="112" t="str">
        <f t="shared" si="2"/>
        <v/>
      </c>
      <c r="U22" s="90">
        <f>1+Y22</f>
        <v>0.55000000000000004</v>
      </c>
      <c r="V22" s="113" t="str">
        <f>T17</f>
        <v/>
      </c>
      <c r="W22" s="88">
        <v>11</v>
      </c>
      <c r="X22" s="88"/>
      <c r="Y22" s="115">
        <v>-0.45</v>
      </c>
      <c r="AA22" s="88" t="s">
        <v>322</v>
      </c>
      <c r="AB22" s="112" t="str">
        <f t="shared" si="3"/>
        <v/>
      </c>
      <c r="AC22" s="90">
        <f>1+AG22</f>
        <v>0.55000000000000004</v>
      </c>
      <c r="AD22" s="113" t="str">
        <f>AB17</f>
        <v/>
      </c>
      <c r="AE22" s="88">
        <v>11</v>
      </c>
      <c r="AF22" s="88"/>
      <c r="AG22" s="100">
        <f t="shared" si="7"/>
        <v>-0.45</v>
      </c>
    </row>
    <row r="23" spans="3:33" x14ac:dyDescent="0.25">
      <c r="D23" s="85"/>
      <c r="E23" s="85"/>
      <c r="G23" s="85"/>
      <c r="H23" s="85"/>
      <c r="I23" s="87"/>
      <c r="L23" s="85"/>
      <c r="M23" s="85"/>
      <c r="O23" s="85"/>
      <c r="P23" s="85"/>
      <c r="Q23" s="87"/>
      <c r="T23" s="85"/>
      <c r="U23" s="85"/>
      <c r="W23" s="85"/>
      <c r="X23" s="85"/>
      <c r="Y23" s="87"/>
      <c r="AB23" s="85"/>
      <c r="AC23" s="85"/>
      <c r="AE23" s="85"/>
      <c r="AF23" s="85"/>
      <c r="AG23" s="87"/>
    </row>
    <row r="24" spans="3:33" x14ac:dyDescent="0.25">
      <c r="C24" s="84" t="s">
        <v>367</v>
      </c>
      <c r="L24" s="84" t="s">
        <v>370</v>
      </c>
    </row>
    <row r="25" spans="3:33" x14ac:dyDescent="0.25">
      <c r="L25" s="84" t="s">
        <v>368</v>
      </c>
    </row>
    <row r="26" spans="3:33" x14ac:dyDescent="0.25">
      <c r="L26" s="84" t="s">
        <v>369</v>
      </c>
    </row>
    <row r="28" spans="3:33" x14ac:dyDescent="0.25">
      <c r="C28" s="84" t="s">
        <v>371</v>
      </c>
    </row>
    <row r="29" spans="3:33" x14ac:dyDescent="0.25">
      <c r="D29" s="84" t="s">
        <v>376</v>
      </c>
    </row>
    <row r="30" spans="3:33" x14ac:dyDescent="0.25">
      <c r="D30" s="84" t="s">
        <v>350</v>
      </c>
    </row>
    <row r="31" spans="3:33" x14ac:dyDescent="0.25">
      <c r="D31" s="84" t="s">
        <v>351</v>
      </c>
    </row>
    <row r="32" spans="3:33" x14ac:dyDescent="0.25">
      <c r="D32" s="84" t="s">
        <v>377</v>
      </c>
    </row>
    <row r="33" spans="3:8" x14ac:dyDescent="0.25">
      <c r="D33" s="84" t="s">
        <v>352</v>
      </c>
    </row>
    <row r="34" spans="3:8" x14ac:dyDescent="0.25">
      <c r="D34" s="84" t="s">
        <v>353</v>
      </c>
    </row>
    <row r="35" spans="3:8" x14ac:dyDescent="0.25">
      <c r="H35" s="84" t="s">
        <v>354</v>
      </c>
    </row>
    <row r="36" spans="3:8" x14ac:dyDescent="0.25">
      <c r="H36" s="84" t="s">
        <v>355</v>
      </c>
    </row>
    <row r="37" spans="3:8" x14ac:dyDescent="0.25">
      <c r="H37" s="84" t="s">
        <v>356</v>
      </c>
    </row>
    <row r="38" spans="3:8" x14ac:dyDescent="0.25">
      <c r="H38" s="84" t="s">
        <v>357</v>
      </c>
    </row>
    <row r="39" spans="3:8" x14ac:dyDescent="0.25">
      <c r="H39" s="84" t="s">
        <v>358</v>
      </c>
    </row>
    <row r="41" spans="3:8" x14ac:dyDescent="0.25">
      <c r="C41" s="84" t="s">
        <v>359</v>
      </c>
    </row>
    <row r="42" spans="3:8" x14ac:dyDescent="0.25">
      <c r="D42" s="84" t="s">
        <v>360</v>
      </c>
    </row>
    <row r="43" spans="3:8" x14ac:dyDescent="0.25">
      <c r="D43" s="84" t="s">
        <v>361</v>
      </c>
    </row>
    <row r="44" spans="3:8" x14ac:dyDescent="0.25">
      <c r="H44" s="84" t="s">
        <v>362</v>
      </c>
    </row>
    <row r="45" spans="3:8" x14ac:dyDescent="0.25">
      <c r="H45" s="84" t="s">
        <v>363</v>
      </c>
    </row>
    <row r="46" spans="3:8" x14ac:dyDescent="0.25">
      <c r="H46" s="84" t="s">
        <v>364</v>
      </c>
    </row>
    <row r="47" spans="3:8" x14ac:dyDescent="0.25">
      <c r="H47" s="84" t="s">
        <v>365</v>
      </c>
    </row>
    <row r="48" spans="3:8" x14ac:dyDescent="0.25">
      <c r="H48" s="84" t="s">
        <v>366</v>
      </c>
    </row>
    <row r="49" spans="4:4" x14ac:dyDescent="0.25">
      <c r="D49" s="84" t="s">
        <v>372</v>
      </c>
    </row>
    <row r="50" spans="4:4" x14ac:dyDescent="0.25">
      <c r="D50" s="133" t="s">
        <v>373</v>
      </c>
    </row>
  </sheetData>
  <sheetProtection algorithmName="SHA-512" hashValue="aK+2X1rNl1IbwhEtqay72Z/d7ulDl5wposNEuJZ/ejoG20Zde5vPUz0JbG5tjUX1hid227DIsaWEDUUrD52obQ==" saltValue="tbBuzDxzj3ISZq2e12bOYA==" spinCount="100000" sheet="1" objects="1" scenarios="1"/>
  <dataValidations xWindow="617" yWindow="297" count="4">
    <dataValidation type="whole" allowBlank="1" showInputMessage="1" showErrorMessage="1" errorTitle="Vul in" error="Vul een waarde in van 0 tot 99 of laat dit veld leeg," promptTitle="Vul in" prompt="Vul een waarde in van 0 tot 99 of laat dit veld leeg," sqref="D7 D9 T7:T8 L9 L7 AB7:AB8" xr:uid="{614AEEFF-7E15-4381-9F22-ECD09E55C57D}">
      <formula1>0</formula1>
      <formula2>99</formula2>
    </dataValidation>
    <dataValidation type="whole" allowBlank="1" showInputMessage="1" showErrorMessage="1" errorTitle="Vil in" error="Vul een waarde in van 0 tot 59 of laat dit veld leeg," promptTitle="Vul in" prompt="Vul een waarde in van 0 tot 59 of laat dit veld leeg," sqref="D8 L8" xr:uid="{8D83E6D3-6317-4053-BF33-B8893ECC2E62}">
      <formula1>0</formula1>
      <formula2>59</formula2>
    </dataValidation>
    <dataValidation type="whole" allowBlank="1" showInputMessage="1" showErrorMessage="1" sqref="Q17:Q22" xr:uid="{CE84D52E-CB19-4246-B386-606A44DB762F}">
      <formula1>-99</formula1>
      <formula2>99</formula2>
    </dataValidation>
    <dataValidation type="whole" allowBlank="1" showInputMessage="1" showErrorMessage="1" errorTitle="Vul in" error="Vul een waarde in van 0 tot 90 of laat dit veld leeg," promptTitle="Vul in" prompt="Vul een waarde in van 0 tot 90 of laat dit veld leeg," sqref="AB6 T6 L6 D6" xr:uid="{7044C499-4B2A-496E-B4BD-AC4EF5C68030}">
      <formula1>17</formula1>
      <formula2>90</formula2>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xWindow="617" yWindow="297" count="4">
        <x14:dataValidation type="list" allowBlank="1" showInputMessage="1" showErrorMessage="1" errorTitle="Tik in of kies uit lijst" error="Tik een geldige discipline in of kies uit lijst via het grijze pijltje achter het veld" promptTitle="Tik in of kies uit lijst" prompt="Tik een geldige discipline in of kies uit lijst via het grijze pijltje achter het veld" xr:uid="{5B74B882-AD65-46DC-9150-18CB526A98E7}">
          <x14:formula1>
            <xm:f>'KAVVV Records &amp; age-grading'!$A$3:$A$22</xm:f>
          </x14:formula1>
          <xm:sqref>D5</xm:sqref>
        </x14:dataValidation>
        <x14:dataValidation type="list" allowBlank="1" showInputMessage="1" showErrorMessage="1" errorTitle="Tik in of kies uit lijst" error="Tik een geldige discipline in of kies uit lijst via het grijze pijltje achter het veld" promptTitle="Tik in of kies uit lijst" prompt="Tik een geldige discipline in of kies uit lijst via het grijze pijltje achter het veld" xr:uid="{16E9E3BE-0925-4787-969C-95408E27D997}">
          <x14:formula1>
            <xm:f>'KAVVV Records &amp; age-grading'!$A$32:$A$56</xm:f>
          </x14:formula1>
          <xm:sqref>L5</xm:sqref>
        </x14:dataValidation>
        <x14:dataValidation type="list" allowBlank="1" showInputMessage="1" showErrorMessage="1" errorTitle="Tik in of kies uit lijst" error="Tik een geldige discipline in of kies uit lijst via het grijze pijltje achter het veld" promptTitle="Tik in of kies uit lijst" prompt="Tik een geldige discipline in of kies uit lijst via het grijze pijltje achter het veld" xr:uid="{3A0BD708-3C32-4D16-93A2-16CB4BB844F1}">
          <x14:formula1>
            <xm:f>'KAVVV Records &amp; age-grading'!$A$23:$A$28</xm:f>
          </x14:formula1>
          <xm:sqref>T5</xm:sqref>
        </x14:dataValidation>
        <x14:dataValidation type="list" allowBlank="1" showInputMessage="1" showErrorMessage="1" errorTitle="Tik in of kies uit lijst" error="Tik een geldige discipline in of kies uit lijst via het grijze pijltje achter het veld" promptTitle="Tik in of kies uit lijst" prompt="Tik een geldige discipline in of kies uit lijst via het grijze pijltje achter het veld" xr:uid="{BB043BF2-3C36-4F9B-A978-FC6C546FBC42}">
          <x14:formula1>
            <xm:f>'KAVVV Records &amp; age-grading'!$A$51:$A$56</xm:f>
          </x14:formula1>
          <xm:sqref>AB5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4294D-A214-4B20-83C8-E16DDA2B57B7}">
  <sheetPr>
    <pageSetUpPr fitToPage="1"/>
  </sheetPr>
  <dimension ref="A1:P447"/>
  <sheetViews>
    <sheetView workbookViewId="0">
      <selection sqref="A1:XFD1048576"/>
    </sheetView>
  </sheetViews>
  <sheetFormatPr defaultRowHeight="13.2" x14ac:dyDescent="0.25"/>
  <cols>
    <col min="1" max="1" width="18.88671875" bestFit="1" customWidth="1"/>
    <col min="2" max="2" width="5.21875" style="6" customWidth="1"/>
    <col min="3" max="3" width="9.6640625" bestFit="1" customWidth="1"/>
    <col min="4" max="14" width="10" customWidth="1"/>
    <col min="15" max="16" width="10.6640625" bestFit="1" customWidth="1"/>
  </cols>
  <sheetData>
    <row r="1" spans="1:16" x14ac:dyDescent="0.25">
      <c r="B1" s="129"/>
      <c r="C1" s="117"/>
      <c r="D1" s="117"/>
      <c r="E1" s="117"/>
      <c r="F1" s="117"/>
      <c r="G1" s="117"/>
      <c r="H1" s="28" t="s">
        <v>274</v>
      </c>
      <c r="I1" s="117"/>
      <c r="J1" s="117"/>
      <c r="K1" s="117"/>
      <c r="L1" s="117"/>
      <c r="M1" s="117"/>
      <c r="N1" s="117"/>
    </row>
    <row r="2" spans="1:16" x14ac:dyDescent="0.25">
      <c r="A2" s="14" t="s">
        <v>348</v>
      </c>
      <c r="B2" s="129"/>
    </row>
    <row r="3" spans="1:16" x14ac:dyDescent="0.25">
      <c r="B3" s="129"/>
    </row>
    <row r="4" spans="1:16" x14ac:dyDescent="0.25">
      <c r="A4" t="s">
        <v>245</v>
      </c>
      <c r="B4" s="129"/>
      <c r="C4" s="15" t="s">
        <v>243</v>
      </c>
      <c r="D4" s="15" t="s">
        <v>233</v>
      </c>
      <c r="E4" s="15" t="s">
        <v>232</v>
      </c>
      <c r="F4" s="15" t="s">
        <v>234</v>
      </c>
      <c r="G4" s="15" t="s">
        <v>235</v>
      </c>
      <c r="H4" s="15" t="s">
        <v>236</v>
      </c>
      <c r="I4" s="15" t="s">
        <v>237</v>
      </c>
      <c r="J4" s="15" t="s">
        <v>238</v>
      </c>
      <c r="K4" s="15" t="s">
        <v>239</v>
      </c>
      <c r="L4" s="15" t="s">
        <v>240</v>
      </c>
      <c r="M4" s="15" t="s">
        <v>241</v>
      </c>
      <c r="N4" s="15" t="s">
        <v>242</v>
      </c>
      <c r="O4" s="15"/>
      <c r="P4" s="15"/>
    </row>
    <row r="5" spans="1:16" ht="14.4" x14ac:dyDescent="0.3">
      <c r="C5" s="123"/>
      <c r="D5" s="124">
        <f>VLOOKUP($A4,'KAVVV Records &amp; age-grading'!$A$30:$AF$55,20,FALSE)</f>
        <v>0.95479999999999998</v>
      </c>
      <c r="E5" s="124">
        <f>VLOOKUP($A4,'KAVVV Records &amp; age-grading'!$A$30:$AF$55,21,FALSE)</f>
        <v>0.91959999999999997</v>
      </c>
      <c r="F5" s="124">
        <f>VLOOKUP($A4,'KAVVV Records &amp; age-grading'!$A$30:$AF$55,22,FALSE)</f>
        <v>0.88439999999999996</v>
      </c>
      <c r="G5" s="124">
        <f>VLOOKUP($A4,'KAVVV Records &amp; age-grading'!$A$30:$AF$55,23,FALSE)</f>
        <v>0.84919999999999995</v>
      </c>
      <c r="H5" s="124">
        <f>VLOOKUP($A4,'KAVVV Records &amp; age-grading'!$A$30:$AF$55,24,FALSE)</f>
        <v>0.81399999999999995</v>
      </c>
      <c r="I5" s="124">
        <f>VLOOKUP($A4,'KAVVV Records &amp; age-grading'!$A$30:$AF$55,25,FALSE)</f>
        <v>0.77880000000000005</v>
      </c>
      <c r="J5" s="124">
        <f>VLOOKUP($A4,'KAVVV Records &amp; age-grading'!$A$30:$AF$55,26,FALSE)</f>
        <v>0.73960000000000004</v>
      </c>
      <c r="K5" s="124">
        <f>VLOOKUP($A4,'KAVVV Records &amp; age-grading'!$A$30:$AF$55,27,FALSE)</f>
        <v>0.69499999999999995</v>
      </c>
      <c r="L5" s="124">
        <f>VLOOKUP($A4,'KAVVV Records &amp; age-grading'!$A$30:$AF$55,28,FALSE)</f>
        <v>0.64200000000000002</v>
      </c>
      <c r="M5" s="124">
        <f>VLOOKUP($A4,'KAVVV Records &amp; age-grading'!$A$30:$AF$55,29,FALSE)</f>
        <v>0.57599999999999996</v>
      </c>
      <c r="N5" s="124">
        <f>VLOOKUP($A4,'KAVVV Records &amp; age-grading'!$A$30:$AF$55,30,FALSE)</f>
        <v>0.49080000000000001</v>
      </c>
      <c r="O5" s="124"/>
      <c r="P5" s="124"/>
    </row>
    <row r="6" spans="1:16" x14ac:dyDescent="0.25">
      <c r="A6" s="118">
        <f>Puntenberekening!$Q$22</f>
        <v>0.3</v>
      </c>
      <c r="B6" s="130">
        <v>6</v>
      </c>
      <c r="C6" s="120">
        <f>C11*(1+$A6)</f>
        <v>1.8898148148148151E-4</v>
      </c>
      <c r="D6" s="121">
        <f t="shared" ref="D6:N6" si="0">$C6/D5</f>
        <v>1.9792781889556088E-4</v>
      </c>
      <c r="E6" s="121">
        <f t="shared" si="0"/>
        <v>2.0550400335089334E-4</v>
      </c>
      <c r="F6" s="121">
        <f t="shared" si="0"/>
        <v>2.1368326716585427E-4</v>
      </c>
      <c r="G6" s="121">
        <f t="shared" si="0"/>
        <v>2.2254060466495704E-4</v>
      </c>
      <c r="H6" s="121">
        <f t="shared" si="0"/>
        <v>2.3216398216398222E-4</v>
      </c>
      <c r="I6" s="121">
        <f t="shared" si="0"/>
        <v>2.426572694934277E-4</v>
      </c>
      <c r="J6" s="121">
        <f t="shared" si="0"/>
        <v>2.5551849848767105E-4</v>
      </c>
      <c r="K6" s="121">
        <f t="shared" si="0"/>
        <v>2.7191580069277918E-4</v>
      </c>
      <c r="L6" s="121">
        <f t="shared" si="0"/>
        <v>2.9436367832006468E-4</v>
      </c>
      <c r="M6" s="121">
        <f t="shared" si="0"/>
        <v>3.2809284979423876E-4</v>
      </c>
      <c r="N6" s="121">
        <f t="shared" si="0"/>
        <v>3.850478432793022E-4</v>
      </c>
      <c r="O6" s="121"/>
      <c r="P6" s="122"/>
    </row>
    <row r="7" spans="1:16" x14ac:dyDescent="0.25">
      <c r="A7" s="118">
        <f>Puntenberekening!$Q$21</f>
        <v>0.22</v>
      </c>
      <c r="B7" s="130">
        <v>7</v>
      </c>
      <c r="C7" s="120">
        <f>C11*(1+$A7)</f>
        <v>1.7735185185185188E-4</v>
      </c>
      <c r="D7" s="121">
        <f t="shared" ref="D7:N7" si="1">$C7/D5</f>
        <v>1.8574764542506482E-4</v>
      </c>
      <c r="E7" s="121">
        <f t="shared" si="1"/>
        <v>1.9285760314468451E-4</v>
      </c>
      <c r="F7" s="121">
        <f t="shared" si="1"/>
        <v>2.0053352764795555E-4</v>
      </c>
      <c r="G7" s="121">
        <f t="shared" si="1"/>
        <v>2.088457982240366E-4</v>
      </c>
      <c r="H7" s="121">
        <f t="shared" si="1"/>
        <v>2.1787696787696793E-4</v>
      </c>
      <c r="I7" s="121">
        <f t="shared" si="1"/>
        <v>2.2772451444767831E-4</v>
      </c>
      <c r="J7" s="121">
        <f t="shared" si="1"/>
        <v>2.3979428319612206E-4</v>
      </c>
      <c r="K7" s="121">
        <f t="shared" si="1"/>
        <v>2.551825206501466E-4</v>
      </c>
      <c r="L7" s="121">
        <f t="shared" si="1"/>
        <v>2.7624899042344529E-4</v>
      </c>
      <c r="M7" s="121">
        <f t="shared" si="1"/>
        <v>3.0790252057613177E-4</v>
      </c>
      <c r="N7" s="121">
        <f t="shared" si="1"/>
        <v>3.6135259138519126E-4</v>
      </c>
      <c r="O7" s="121"/>
      <c r="P7" s="122"/>
    </row>
    <row r="8" spans="1:16" x14ac:dyDescent="0.25">
      <c r="A8" s="118">
        <f>Puntenberekening!$Q$20</f>
        <v>0.15</v>
      </c>
      <c r="B8" s="130">
        <v>8</v>
      </c>
      <c r="C8" s="120">
        <f>C11*(1+$A8)</f>
        <v>1.6717592592592592E-4</v>
      </c>
      <c r="D8" s="121">
        <f t="shared" ref="D8:N8" si="2">$C8/D5</f>
        <v>1.7508999363838074E-4</v>
      </c>
      <c r="E8" s="121">
        <f t="shared" si="2"/>
        <v>1.8179200296425177E-4</v>
      </c>
      <c r="F8" s="121">
        <f t="shared" si="2"/>
        <v>1.8902750556979412E-4</v>
      </c>
      <c r="G8" s="121">
        <f t="shared" si="2"/>
        <v>1.9686284258823119E-4</v>
      </c>
      <c r="H8" s="121">
        <f t="shared" si="2"/>
        <v>2.053758303758304E-4</v>
      </c>
      <c r="I8" s="121">
        <f t="shared" si="2"/>
        <v>2.1465835378264755E-4</v>
      </c>
      <c r="J8" s="121">
        <f t="shared" si="2"/>
        <v>2.2603559481601665E-4</v>
      </c>
      <c r="K8" s="121">
        <f t="shared" si="2"/>
        <v>2.4054090061284306E-4</v>
      </c>
      <c r="L8" s="121">
        <f t="shared" si="2"/>
        <v>2.6039863851390333E-4</v>
      </c>
      <c r="M8" s="121">
        <f t="shared" si="2"/>
        <v>2.902359825102881E-4</v>
      </c>
      <c r="N8" s="121">
        <f t="shared" si="2"/>
        <v>3.4061924597784417E-4</v>
      </c>
      <c r="O8" s="121"/>
      <c r="P8" s="122"/>
    </row>
    <row r="9" spans="1:16" x14ac:dyDescent="0.25">
      <c r="A9" s="118">
        <f>Puntenberekening!$Q$19</f>
        <v>0.09</v>
      </c>
      <c r="B9" s="130">
        <v>9</v>
      </c>
      <c r="C9" s="120">
        <f>C11*(1+$A9)</f>
        <v>1.5845370370370373E-4</v>
      </c>
      <c r="D9" s="121">
        <f t="shared" ref="D9:N9" si="3">$C9/D5</f>
        <v>1.6595486353550873E-4</v>
      </c>
      <c r="E9" s="121">
        <f t="shared" si="3"/>
        <v>1.723072028095952E-4</v>
      </c>
      <c r="F9" s="121">
        <f t="shared" si="3"/>
        <v>1.7916520093137013E-4</v>
      </c>
      <c r="G9" s="121">
        <f t="shared" si="3"/>
        <v>1.8659173775754091E-4</v>
      </c>
      <c r="H9" s="121">
        <f t="shared" si="3"/>
        <v>1.946605696605697E-4</v>
      </c>
      <c r="I9" s="121">
        <f t="shared" si="3"/>
        <v>2.0345878749833553E-4</v>
      </c>
      <c r="J9" s="121">
        <f t="shared" si="3"/>
        <v>2.1424243334735495E-4</v>
      </c>
      <c r="K9" s="121">
        <f t="shared" si="3"/>
        <v>2.2799094058086869E-4</v>
      </c>
      <c r="L9" s="121">
        <f t="shared" si="3"/>
        <v>2.4681262259143881E-4</v>
      </c>
      <c r="M9" s="121">
        <f t="shared" si="3"/>
        <v>2.750932355967079E-4</v>
      </c>
      <c r="N9" s="121">
        <f t="shared" si="3"/>
        <v>3.2284780705726105E-4</v>
      </c>
      <c r="O9" s="121"/>
      <c r="P9" s="122"/>
    </row>
    <row r="10" spans="1:16" x14ac:dyDescent="0.25">
      <c r="A10" s="118">
        <f>Puntenberekening!$Q$18</f>
        <v>0.04</v>
      </c>
      <c r="B10" s="130">
        <v>10</v>
      </c>
      <c r="C10" s="120">
        <f>C11*(1+$A10)</f>
        <v>1.5118518518518522E-4</v>
      </c>
      <c r="D10" s="121">
        <f t="shared" ref="D10:N10" si="4">$C10/D5</f>
        <v>1.583422551164487E-4</v>
      </c>
      <c r="E10" s="121">
        <f t="shared" si="4"/>
        <v>1.6440320268071469E-4</v>
      </c>
      <c r="F10" s="121">
        <f t="shared" si="4"/>
        <v>1.7094661373268343E-4</v>
      </c>
      <c r="G10" s="121">
        <f t="shared" si="4"/>
        <v>1.7803248373196565E-4</v>
      </c>
      <c r="H10" s="121">
        <f t="shared" si="4"/>
        <v>1.8573118573118579E-4</v>
      </c>
      <c r="I10" s="121">
        <f t="shared" si="4"/>
        <v>1.9412581559474218E-4</v>
      </c>
      <c r="J10" s="121">
        <f t="shared" si="4"/>
        <v>2.0441479879013683E-4</v>
      </c>
      <c r="K10" s="121">
        <f t="shared" si="4"/>
        <v>2.1753264055422334E-4</v>
      </c>
      <c r="L10" s="121">
        <f t="shared" si="4"/>
        <v>2.3549094265605172E-4</v>
      </c>
      <c r="M10" s="121">
        <f t="shared" si="4"/>
        <v>2.6247427983539103E-4</v>
      </c>
      <c r="N10" s="121">
        <f t="shared" si="4"/>
        <v>3.0803827462344178E-4</v>
      </c>
      <c r="O10" s="121"/>
      <c r="P10" s="122"/>
    </row>
    <row r="11" spans="1:16" x14ac:dyDescent="0.25">
      <c r="A11" s="118">
        <f>Puntenberekening!$Q$17</f>
        <v>0</v>
      </c>
      <c r="B11" s="130">
        <v>11</v>
      </c>
      <c r="C11" s="123">
        <f>VLOOKUP(A4,'KAVVV Records &amp; age-grading'!$A$30:$C$55,3,FALSE)</f>
        <v>1.4537037037037039E-4</v>
      </c>
      <c r="D11" s="121">
        <f t="shared" ref="D11:N11" si="5">$C11/D5</f>
        <v>1.5225216838120066E-4</v>
      </c>
      <c r="E11" s="121">
        <f t="shared" si="5"/>
        <v>1.5808000257761025E-4</v>
      </c>
      <c r="F11" s="121">
        <f t="shared" si="5"/>
        <v>1.6437174397373403E-4</v>
      </c>
      <c r="G11" s="121">
        <f t="shared" si="5"/>
        <v>1.7118508051150542E-4</v>
      </c>
      <c r="H11" s="121">
        <f t="shared" si="5"/>
        <v>1.7858767858767861E-4</v>
      </c>
      <c r="I11" s="121">
        <f t="shared" si="5"/>
        <v>1.8665943807186745E-4</v>
      </c>
      <c r="J11" s="121">
        <f t="shared" si="5"/>
        <v>1.9655269114436232E-4</v>
      </c>
      <c r="K11" s="121">
        <f t="shared" si="5"/>
        <v>2.0916600053290705E-4</v>
      </c>
      <c r="L11" s="121">
        <f t="shared" si="5"/>
        <v>2.2643359870774203E-4</v>
      </c>
      <c r="M11" s="121">
        <f t="shared" si="5"/>
        <v>2.5237911522633748E-4</v>
      </c>
      <c r="N11" s="121">
        <f t="shared" si="5"/>
        <v>2.9619064867638626E-4</v>
      </c>
      <c r="O11" s="121"/>
      <c r="P11" s="122"/>
    </row>
    <row r="12" spans="1:16" x14ac:dyDescent="0.25">
      <c r="B12" s="129"/>
    </row>
    <row r="13" spans="1:16" x14ac:dyDescent="0.25">
      <c r="A13" t="s">
        <v>279</v>
      </c>
      <c r="B13" s="129"/>
      <c r="C13" s="15" t="s">
        <v>243</v>
      </c>
      <c r="D13" s="15" t="s">
        <v>233</v>
      </c>
      <c r="E13" s="15" t="s">
        <v>232</v>
      </c>
      <c r="F13" s="15" t="s">
        <v>234</v>
      </c>
      <c r="G13" s="15" t="s">
        <v>235</v>
      </c>
      <c r="H13" s="15" t="s">
        <v>236</v>
      </c>
      <c r="I13" s="15" t="s">
        <v>237</v>
      </c>
      <c r="J13" s="15" t="s">
        <v>238</v>
      </c>
      <c r="K13" s="15" t="s">
        <v>239</v>
      </c>
      <c r="L13" s="15" t="s">
        <v>240</v>
      </c>
      <c r="M13" s="15" t="s">
        <v>241</v>
      </c>
      <c r="N13" s="15" t="s">
        <v>242</v>
      </c>
      <c r="O13" s="15"/>
      <c r="P13" s="15"/>
    </row>
    <row r="14" spans="1:16" ht="14.4" x14ac:dyDescent="0.3">
      <c r="C14" s="123"/>
      <c r="D14" s="124">
        <f>VLOOKUP($A13,'KAVVV Records &amp; age-grading'!$A$30:$AF$55,20,FALSE)</f>
        <v>0.94450000000000001</v>
      </c>
      <c r="E14" s="124">
        <f>VLOOKUP($A13,'KAVVV Records &amp; age-grading'!$A$30:$AF$55,21,FALSE)</f>
        <v>0.90890000000000004</v>
      </c>
      <c r="F14" s="124">
        <f>VLOOKUP($A13,'KAVVV Records &amp; age-grading'!$A$30:$AF$55,22,FALSE)</f>
        <v>0.87329999999999997</v>
      </c>
      <c r="G14" s="124">
        <f>VLOOKUP($A13,'KAVVV Records &amp; age-grading'!$A$30:$AF$55,23,FALSE)</f>
        <v>0.8377</v>
      </c>
      <c r="H14" s="124">
        <f>VLOOKUP($A13,'KAVVV Records &amp; age-grading'!$A$30:$AF$55,24,FALSE)</f>
        <v>0.80210000000000004</v>
      </c>
      <c r="I14" s="124">
        <f>VLOOKUP($A13,'KAVVV Records &amp; age-grading'!$A$30:$AF$55,25,FALSE)</f>
        <v>0.76649999999999996</v>
      </c>
      <c r="J14" s="124">
        <f>VLOOKUP($A13,'KAVVV Records &amp; age-grading'!$A$30:$AF$55,26,FALSE)</f>
        <v>0.72320000000000007</v>
      </c>
      <c r="K14" s="124">
        <f>VLOOKUP($A13,'KAVVV Records &amp; age-grading'!$A$30:$AF$55,27,FALSE)</f>
        <v>0.67474999999999996</v>
      </c>
      <c r="L14" s="124">
        <f>VLOOKUP($A13,'KAVVV Records &amp; age-grading'!$A$30:$AF$55,28,FALSE)</f>
        <v>0.61385000000000001</v>
      </c>
      <c r="M14" s="124">
        <f>VLOOKUP($A13,'KAVVV Records &amp; age-grading'!$A$30:$AF$55,29,FALSE)</f>
        <v>0.53459999999999996</v>
      </c>
      <c r="N14" s="124">
        <f>VLOOKUP($A13,'KAVVV Records &amp; age-grading'!$A$30:$AF$55,30,FALSE)</f>
        <v>0.4254</v>
      </c>
      <c r="O14" s="124"/>
      <c r="P14" s="124"/>
    </row>
    <row r="15" spans="1:16" x14ac:dyDescent="0.25">
      <c r="A15" s="118">
        <f>Puntenberekening!$Q$22</f>
        <v>0.3</v>
      </c>
      <c r="B15" s="130">
        <v>6</v>
      </c>
      <c r="C15" s="120">
        <f>C20*(1+$A15)</f>
        <v>3.0363425925925924E-4</v>
      </c>
      <c r="D15" s="121">
        <f t="shared" ref="D15:N15" si="6">$C15/D14</f>
        <v>3.2147618767523479E-4</v>
      </c>
      <c r="E15" s="121">
        <f t="shared" si="6"/>
        <v>3.3406783943146576E-4</v>
      </c>
      <c r="F15" s="121">
        <f t="shared" si="6"/>
        <v>3.4768608640702996E-4</v>
      </c>
      <c r="G15" s="121">
        <f t="shared" si="6"/>
        <v>3.6246181122031663E-4</v>
      </c>
      <c r="H15" s="121">
        <f t="shared" si="6"/>
        <v>3.7854913260099642E-4</v>
      </c>
      <c r="I15" s="121">
        <f t="shared" si="6"/>
        <v>3.9613080138194292E-4</v>
      </c>
      <c r="J15" s="121">
        <f t="shared" si="6"/>
        <v>4.1984825671910844E-4</v>
      </c>
      <c r="K15" s="121">
        <f t="shared" si="6"/>
        <v>4.4999519712376324E-4</v>
      </c>
      <c r="L15" s="121">
        <f t="shared" si="6"/>
        <v>4.946391777457998E-4</v>
      </c>
      <c r="M15" s="121">
        <f t="shared" si="6"/>
        <v>5.6796531847972179E-4</v>
      </c>
      <c r="N15" s="121">
        <f t="shared" si="6"/>
        <v>7.1376177540963617E-4</v>
      </c>
      <c r="O15" s="121"/>
      <c r="P15" s="122"/>
    </row>
    <row r="16" spans="1:16" x14ac:dyDescent="0.25">
      <c r="A16" s="118">
        <f>Puntenberekening!$Q$21</f>
        <v>0.22</v>
      </c>
      <c r="B16" s="130">
        <v>7</v>
      </c>
      <c r="C16" s="120">
        <f>C20*(1+$A16)</f>
        <v>2.8494907407407408E-4</v>
      </c>
      <c r="D16" s="121">
        <f t="shared" ref="D16:N16" si="7">$C16/D14</f>
        <v>3.0169303766445111E-4</v>
      </c>
      <c r="E16" s="121">
        <f t="shared" si="7"/>
        <v>3.1350981854337556E-4</v>
      </c>
      <c r="F16" s="121">
        <f t="shared" si="7"/>
        <v>3.2629001955121272E-4</v>
      </c>
      <c r="G16" s="121">
        <f t="shared" si="7"/>
        <v>3.401564689913741E-4</v>
      </c>
      <c r="H16" s="121">
        <f t="shared" si="7"/>
        <v>3.5525380136401202E-4</v>
      </c>
      <c r="I16" s="121">
        <f t="shared" si="7"/>
        <v>3.7175352129690029E-4</v>
      </c>
      <c r="J16" s="121">
        <f t="shared" si="7"/>
        <v>3.9401144092100949E-4</v>
      </c>
      <c r="K16" s="121">
        <f t="shared" si="7"/>
        <v>4.2230318499307014E-4</v>
      </c>
      <c r="L16" s="121">
        <f t="shared" si="7"/>
        <v>4.6419984373067375E-4</v>
      </c>
      <c r="M16" s="121">
        <f t="shared" si="7"/>
        <v>5.3301360657327743E-4</v>
      </c>
      <c r="N16" s="121">
        <f t="shared" si="7"/>
        <v>6.6983797384596627E-4</v>
      </c>
      <c r="O16" s="121"/>
      <c r="P16" s="122"/>
    </row>
    <row r="17" spans="1:16" x14ac:dyDescent="0.25">
      <c r="A17" s="118">
        <f>Puntenberekening!$Q$20</f>
        <v>0.15</v>
      </c>
      <c r="B17" s="130">
        <v>8</v>
      </c>
      <c r="C17" s="120">
        <f>C20*(1+$A17)</f>
        <v>2.6859953703703703E-4</v>
      </c>
      <c r="D17" s="121">
        <f t="shared" ref="D17:N17" si="8">$C17/D14</f>
        <v>2.8438278140501536E-4</v>
      </c>
      <c r="E17" s="121">
        <f t="shared" si="8"/>
        <v>2.9552155026629664E-4</v>
      </c>
      <c r="F17" s="121">
        <f t="shared" si="8"/>
        <v>3.0756846105237264E-4</v>
      </c>
      <c r="G17" s="121">
        <f t="shared" si="8"/>
        <v>3.2063929454104932E-4</v>
      </c>
      <c r="H17" s="121">
        <f t="shared" si="8"/>
        <v>3.3487038653165068E-4</v>
      </c>
      <c r="I17" s="121">
        <f t="shared" si="8"/>
        <v>3.50423401222488E-4</v>
      </c>
      <c r="J17" s="121">
        <f t="shared" si="8"/>
        <v>3.7140422709767284E-4</v>
      </c>
      <c r="K17" s="121">
        <f t="shared" si="8"/>
        <v>3.9807267437871365E-4</v>
      </c>
      <c r="L17" s="121">
        <f t="shared" si="8"/>
        <v>4.3756542646743835E-4</v>
      </c>
      <c r="M17" s="121">
        <f t="shared" si="8"/>
        <v>5.0243085865513853E-4</v>
      </c>
      <c r="N17" s="121">
        <f t="shared" si="8"/>
        <v>6.3140464747775513E-4</v>
      </c>
      <c r="O17" s="121"/>
      <c r="P17" s="122"/>
    </row>
    <row r="18" spans="1:16" x14ac:dyDescent="0.25">
      <c r="A18" s="118">
        <f>Puntenberekening!$Q$19</f>
        <v>0.09</v>
      </c>
      <c r="B18" s="130">
        <v>9</v>
      </c>
      <c r="C18" s="120">
        <f>C20*(1+$A18)</f>
        <v>2.5458564814814815E-4</v>
      </c>
      <c r="D18" s="121">
        <f t="shared" ref="D18:N18" si="9">$C18/D14</f>
        <v>2.6954541889692761E-4</v>
      </c>
      <c r="E18" s="121">
        <f t="shared" si="9"/>
        <v>2.8010303460022901E-4</v>
      </c>
      <c r="F18" s="121">
        <f t="shared" si="9"/>
        <v>2.9152141091050976E-4</v>
      </c>
      <c r="G18" s="121">
        <f t="shared" si="9"/>
        <v>3.0391028786934241E-4</v>
      </c>
      <c r="H18" s="121">
        <f t="shared" si="9"/>
        <v>3.1739888810391239E-4</v>
      </c>
      <c r="I18" s="121">
        <f t="shared" si="9"/>
        <v>3.32140441158706E-4</v>
      </c>
      <c r="J18" s="121">
        <f t="shared" si="9"/>
        <v>3.5202661524909865E-4</v>
      </c>
      <c r="K18" s="121">
        <f t="shared" si="9"/>
        <v>3.7730366528069382E-4</v>
      </c>
      <c r="L18" s="121">
        <f t="shared" si="9"/>
        <v>4.1473592595609376E-4</v>
      </c>
      <c r="M18" s="121">
        <f t="shared" si="9"/>
        <v>4.7621707472530523E-4</v>
      </c>
      <c r="N18" s="121">
        <f t="shared" si="9"/>
        <v>5.9846179630500273E-4</v>
      </c>
      <c r="O18" s="121"/>
      <c r="P18" s="122"/>
    </row>
    <row r="19" spans="1:16" x14ac:dyDescent="0.25">
      <c r="A19" s="118">
        <f>Puntenberekening!$Q$18</f>
        <v>0.04</v>
      </c>
      <c r="B19" s="130">
        <v>10</v>
      </c>
      <c r="C19" s="120">
        <f>C20*(1+$A19)</f>
        <v>2.4290740740740742E-4</v>
      </c>
      <c r="D19" s="121">
        <f t="shared" ref="D19:N19" si="10">$C19/D14</f>
        <v>2.5718095014018786E-4</v>
      </c>
      <c r="E19" s="121">
        <f t="shared" si="10"/>
        <v>2.6725427154517266E-4</v>
      </c>
      <c r="F19" s="121">
        <f t="shared" si="10"/>
        <v>2.7814886912562399E-4</v>
      </c>
      <c r="G19" s="121">
        <f t="shared" si="10"/>
        <v>2.8996944897625331E-4</v>
      </c>
      <c r="H19" s="121">
        <f t="shared" si="10"/>
        <v>3.0283930608079716E-4</v>
      </c>
      <c r="I19" s="121">
        <f t="shared" si="10"/>
        <v>3.169046411055544E-4</v>
      </c>
      <c r="J19" s="121">
        <f t="shared" si="10"/>
        <v>3.358786053752868E-4</v>
      </c>
      <c r="K19" s="121">
        <f t="shared" si="10"/>
        <v>3.5999615769901066E-4</v>
      </c>
      <c r="L19" s="121">
        <f t="shared" si="10"/>
        <v>3.9571134219663993E-4</v>
      </c>
      <c r="M19" s="121">
        <f t="shared" si="10"/>
        <v>4.543722547837775E-4</v>
      </c>
      <c r="N19" s="121">
        <f t="shared" si="10"/>
        <v>5.7100942032770898E-4</v>
      </c>
      <c r="O19" s="121"/>
      <c r="P19" s="122"/>
    </row>
    <row r="20" spans="1:16" x14ac:dyDescent="0.25">
      <c r="A20" s="118">
        <f>Puntenberekening!$Q$17</f>
        <v>0</v>
      </c>
      <c r="B20" s="130">
        <v>11</v>
      </c>
      <c r="C20" s="123">
        <f>VLOOKUP(A13,'KAVVV Records &amp; age-grading'!$A$30:$C$55,3,FALSE)</f>
        <v>2.3356481481481481E-4</v>
      </c>
      <c r="D20" s="121">
        <f t="shared" ref="D20:N20" si="11">$C20/D14</f>
        <v>2.4728937513479599E-4</v>
      </c>
      <c r="E20" s="121">
        <f t="shared" si="11"/>
        <v>2.5697526110112753E-4</v>
      </c>
      <c r="F20" s="121">
        <f t="shared" si="11"/>
        <v>2.6745083569771537E-4</v>
      </c>
      <c r="G20" s="121">
        <f t="shared" si="11"/>
        <v>2.7881677786178202E-4</v>
      </c>
      <c r="H20" s="121">
        <f t="shared" si="11"/>
        <v>2.9119164046230493E-4</v>
      </c>
      <c r="I20" s="121">
        <f t="shared" si="11"/>
        <v>3.0471600106303303E-4</v>
      </c>
      <c r="J20" s="121">
        <f t="shared" si="11"/>
        <v>3.2296019747623725E-4</v>
      </c>
      <c r="K20" s="121">
        <f t="shared" si="11"/>
        <v>3.4615015163366405E-4</v>
      </c>
      <c r="L20" s="121">
        <f t="shared" si="11"/>
        <v>3.8049167518907685E-4</v>
      </c>
      <c r="M20" s="121">
        <f t="shared" si="11"/>
        <v>4.3689639883055521E-4</v>
      </c>
      <c r="N20" s="121">
        <f t="shared" si="11"/>
        <v>5.4904751954587398E-4</v>
      </c>
      <c r="O20" s="121"/>
      <c r="P20" s="122"/>
    </row>
    <row r="21" spans="1:16" x14ac:dyDescent="0.25">
      <c r="B21" s="129"/>
    </row>
    <row r="22" spans="1:16" x14ac:dyDescent="0.25">
      <c r="A22" t="s">
        <v>246</v>
      </c>
      <c r="B22" s="129"/>
      <c r="C22" s="15" t="s">
        <v>243</v>
      </c>
      <c r="D22" s="15" t="s">
        <v>233</v>
      </c>
      <c r="E22" s="15" t="s">
        <v>232</v>
      </c>
      <c r="F22" s="15" t="s">
        <v>234</v>
      </c>
      <c r="G22" s="15" t="s">
        <v>235</v>
      </c>
      <c r="H22" s="15" t="s">
        <v>236</v>
      </c>
      <c r="I22" s="15" t="s">
        <v>237</v>
      </c>
      <c r="J22" s="15" t="s">
        <v>238</v>
      </c>
      <c r="K22" s="15" t="s">
        <v>239</v>
      </c>
      <c r="L22" s="15" t="s">
        <v>240</v>
      </c>
      <c r="M22" s="15" t="s">
        <v>241</v>
      </c>
      <c r="N22" s="15" t="s">
        <v>242</v>
      </c>
      <c r="O22" s="15"/>
      <c r="P22" s="15"/>
    </row>
    <row r="23" spans="1:16" ht="14.4" x14ac:dyDescent="0.3">
      <c r="C23" s="123"/>
      <c r="D23" s="124">
        <f>VLOOKUP($A22,'KAVVV Records &amp; age-grading'!$A$30:$AF$55,20,FALSE)</f>
        <v>0.93420000000000003</v>
      </c>
      <c r="E23" s="124">
        <f>VLOOKUP($A22,'KAVVV Records &amp; age-grading'!$A$30:$AF$55,21,FALSE)</f>
        <v>0.8982</v>
      </c>
      <c r="F23" s="124">
        <f>VLOOKUP($A22,'KAVVV Records &amp; age-grading'!$A$30:$AF$55,22,FALSE)</f>
        <v>0.86219999999999997</v>
      </c>
      <c r="G23" s="124">
        <f>VLOOKUP($A22,'KAVVV Records &amp; age-grading'!$A$30:$AF$55,23,FALSE)</f>
        <v>0.82620000000000005</v>
      </c>
      <c r="H23" s="124">
        <f>VLOOKUP($A22,'KAVVV Records &amp; age-grading'!$A$30:$AF$55,24,FALSE)</f>
        <v>0.79020000000000001</v>
      </c>
      <c r="I23" s="124">
        <f>VLOOKUP($A22,'KAVVV Records &amp; age-grading'!$A$30:$AF$55,25,FALSE)</f>
        <v>0.75419999999999998</v>
      </c>
      <c r="J23" s="124">
        <f>VLOOKUP($A22,'KAVVV Records &amp; age-grading'!$A$30:$AF$55,26,FALSE)</f>
        <v>0.70679999999999998</v>
      </c>
      <c r="K23" s="124">
        <f>VLOOKUP($A22,'KAVVV Records &amp; age-grading'!$A$30:$AF$55,27,FALSE)</f>
        <v>0.65449999999999997</v>
      </c>
      <c r="L23" s="124">
        <f>VLOOKUP($A22,'KAVVV Records &amp; age-grading'!$A$30:$AF$55,28,FALSE)</f>
        <v>0.5857</v>
      </c>
      <c r="M23" s="124">
        <f>VLOOKUP($A22,'KAVVV Records &amp; age-grading'!$A$30:$AF$55,29,FALSE)</f>
        <v>0.49320000000000003</v>
      </c>
      <c r="N23" s="124">
        <f>VLOOKUP($A22,'KAVVV Records &amp; age-grading'!$A$30:$AF$55,30,FALSE)</f>
        <v>0.36</v>
      </c>
      <c r="O23" s="124"/>
      <c r="P23" s="124"/>
    </row>
    <row r="24" spans="1:16" x14ac:dyDescent="0.25">
      <c r="A24" s="118">
        <f>Puntenberekening!$Q$22</f>
        <v>0.3</v>
      </c>
      <c r="B24" s="130">
        <v>6</v>
      </c>
      <c r="C24" s="120">
        <f>C29*(1+$A24)</f>
        <v>3.924074074074074E-4</v>
      </c>
      <c r="D24" s="121">
        <f t="shared" ref="D24:N24" si="12">$C24/D23</f>
        <v>4.2004646479063088E-4</v>
      </c>
      <c r="E24" s="121">
        <f t="shared" si="12"/>
        <v>4.3688199444155798E-4</v>
      </c>
      <c r="F24" s="121">
        <f t="shared" si="12"/>
        <v>4.5512341383368985E-4</v>
      </c>
      <c r="G24" s="121">
        <f t="shared" si="12"/>
        <v>4.7495449940378523E-4</v>
      </c>
      <c r="H24" s="121">
        <f t="shared" si="12"/>
        <v>4.9659251759985752E-4</v>
      </c>
      <c r="I24" s="121">
        <f t="shared" si="12"/>
        <v>5.2029621772395568E-4</v>
      </c>
      <c r="J24" s="121">
        <f t="shared" si="12"/>
        <v>5.5518874845417003E-4</v>
      </c>
      <c r="K24" s="121">
        <f t="shared" si="12"/>
        <v>5.9955295249412897E-4</v>
      </c>
      <c r="L24" s="121">
        <f t="shared" si="12"/>
        <v>6.6998020728599526E-4</v>
      </c>
      <c r="M24" s="121">
        <f t="shared" si="12"/>
        <v>7.9563545703042853E-4</v>
      </c>
      <c r="N24" s="122">
        <f t="shared" si="12"/>
        <v>1.0900205761316872E-3</v>
      </c>
      <c r="O24" s="121"/>
      <c r="P24" s="122"/>
    </row>
    <row r="25" spans="1:16" x14ac:dyDescent="0.25">
      <c r="A25" s="118">
        <f>Puntenberekening!$Q$21</f>
        <v>0.22</v>
      </c>
      <c r="B25" s="130">
        <v>7</v>
      </c>
      <c r="C25" s="120">
        <f>C29*(1+$A25)</f>
        <v>3.682592592592592E-4</v>
      </c>
      <c r="D25" s="121">
        <f t="shared" ref="D25:N25" si="13">$C25/D23</f>
        <v>3.9419745157274588E-4</v>
      </c>
      <c r="E25" s="121">
        <f t="shared" si="13"/>
        <v>4.0999694862976977E-4</v>
      </c>
      <c r="F25" s="121">
        <f t="shared" si="13"/>
        <v>4.2711581913623198E-4</v>
      </c>
      <c r="G25" s="121">
        <f t="shared" si="13"/>
        <v>4.4572653020970608E-4</v>
      </c>
      <c r="H25" s="121">
        <f t="shared" si="13"/>
        <v>4.6603297805525084E-4</v>
      </c>
      <c r="I25" s="121">
        <f t="shared" si="13"/>
        <v>4.8827798894094299E-4</v>
      </c>
      <c r="J25" s="121">
        <f t="shared" si="13"/>
        <v>5.2102328701083645E-4</v>
      </c>
      <c r="K25" s="121">
        <f t="shared" si="13"/>
        <v>5.6265738618679786E-4</v>
      </c>
      <c r="L25" s="121">
        <f t="shared" si="13"/>
        <v>6.2875065606839543E-4</v>
      </c>
      <c r="M25" s="121">
        <f t="shared" si="13"/>
        <v>7.4667327505932514E-4</v>
      </c>
      <c r="N25" s="122">
        <f t="shared" si="13"/>
        <v>1.0229423868312756E-3</v>
      </c>
      <c r="O25" s="121"/>
      <c r="P25" s="122"/>
    </row>
    <row r="26" spans="1:16" x14ac:dyDescent="0.25">
      <c r="A26" s="118">
        <f>Puntenberekening!$Q$20</f>
        <v>0.15</v>
      </c>
      <c r="B26" s="130">
        <v>8</v>
      </c>
      <c r="C26" s="120">
        <f>C29*(1+$A26)</f>
        <v>3.4712962962962958E-4</v>
      </c>
      <c r="D26" s="121">
        <f t="shared" ref="D26:N26" si="14">$C26/D23</f>
        <v>3.7157956500709653E-4</v>
      </c>
      <c r="E26" s="121">
        <f t="shared" si="14"/>
        <v>3.864725335444551E-4</v>
      </c>
      <c r="F26" s="121">
        <f t="shared" si="14"/>
        <v>4.0260917377595636E-4</v>
      </c>
      <c r="G26" s="121">
        <f t="shared" si="14"/>
        <v>4.2015205716488689E-4</v>
      </c>
      <c r="H26" s="121">
        <f t="shared" si="14"/>
        <v>4.3929338095372001E-4</v>
      </c>
      <c r="I26" s="121">
        <f t="shared" si="14"/>
        <v>4.6026203875580691E-4</v>
      </c>
      <c r="J26" s="121">
        <f t="shared" si="14"/>
        <v>4.9112850824791963E-4</v>
      </c>
      <c r="K26" s="121">
        <f t="shared" si="14"/>
        <v>5.3037376566788326E-4</v>
      </c>
      <c r="L26" s="121">
        <f t="shared" si="14"/>
        <v>5.9267479875299567E-4</v>
      </c>
      <c r="M26" s="121">
        <f t="shared" si="14"/>
        <v>7.0383136583460982E-4</v>
      </c>
      <c r="N26" s="122">
        <f t="shared" si="14"/>
        <v>9.6424897119341553E-4</v>
      </c>
      <c r="O26" s="121"/>
      <c r="P26" s="122"/>
    </row>
    <row r="27" spans="1:16" x14ac:dyDescent="0.25">
      <c r="A27" s="118">
        <f>Puntenberekening!$Q$19</f>
        <v>0.09</v>
      </c>
      <c r="B27" s="130">
        <v>9</v>
      </c>
      <c r="C27" s="120">
        <f>C29*(1+$A27)</f>
        <v>3.2901851851851853E-4</v>
      </c>
      <c r="D27" s="121">
        <f t="shared" ref="D27:N27" si="15">$C27/D23</f>
        <v>3.5219280509368283E-4</v>
      </c>
      <c r="E27" s="121">
        <f t="shared" si="15"/>
        <v>3.6630874918561402E-4</v>
      </c>
      <c r="F27" s="121">
        <f t="shared" si="15"/>
        <v>3.8160347775286309E-4</v>
      </c>
      <c r="G27" s="121">
        <f t="shared" si="15"/>
        <v>3.9823108026932767E-4</v>
      </c>
      <c r="H27" s="121">
        <f t="shared" si="15"/>
        <v>4.1637372629526513E-4</v>
      </c>
      <c r="I27" s="121">
        <f t="shared" si="15"/>
        <v>4.3624836716854749E-4</v>
      </c>
      <c r="J27" s="121">
        <f t="shared" si="15"/>
        <v>4.6550441216541952E-4</v>
      </c>
      <c r="K27" s="121">
        <f t="shared" si="15"/>
        <v>5.0270209093738506E-4</v>
      </c>
      <c r="L27" s="121">
        <f t="shared" si="15"/>
        <v>5.6175263533979607E-4</v>
      </c>
      <c r="M27" s="121">
        <f t="shared" si="15"/>
        <v>6.6710972935628244E-4</v>
      </c>
      <c r="N27" s="122">
        <f t="shared" si="15"/>
        <v>9.1394032921810701E-4</v>
      </c>
      <c r="O27" s="121"/>
      <c r="P27" s="122"/>
    </row>
    <row r="28" spans="1:16" x14ac:dyDescent="0.25">
      <c r="A28" s="118">
        <f>Puntenberekening!$Q$18</f>
        <v>0.04</v>
      </c>
      <c r="B28" s="130">
        <v>10</v>
      </c>
      <c r="C28" s="120">
        <f>C29*(1+$A28)</f>
        <v>3.1392592592592588E-4</v>
      </c>
      <c r="D28" s="121">
        <f t="shared" ref="D28:N28" si="16">$C28/D23</f>
        <v>3.3603717183250468E-4</v>
      </c>
      <c r="E28" s="121">
        <f t="shared" si="16"/>
        <v>3.4950559555324638E-4</v>
      </c>
      <c r="F28" s="121">
        <f t="shared" si="16"/>
        <v>3.6409873106695186E-4</v>
      </c>
      <c r="G28" s="121">
        <f t="shared" si="16"/>
        <v>3.7996359952302815E-4</v>
      </c>
      <c r="H28" s="121">
        <f t="shared" si="16"/>
        <v>3.9727401407988594E-4</v>
      </c>
      <c r="I28" s="121">
        <f t="shared" si="16"/>
        <v>4.1623697417916453E-4</v>
      </c>
      <c r="J28" s="121">
        <f t="shared" si="16"/>
        <v>4.4415099876333601E-4</v>
      </c>
      <c r="K28" s="121">
        <f t="shared" si="16"/>
        <v>4.796423619953031E-4</v>
      </c>
      <c r="L28" s="121">
        <f t="shared" si="16"/>
        <v>5.359841658287961E-4</v>
      </c>
      <c r="M28" s="121">
        <f t="shared" si="16"/>
        <v>6.365083656243428E-4</v>
      </c>
      <c r="N28" s="122">
        <f t="shared" si="16"/>
        <v>8.7201646090534967E-4</v>
      </c>
      <c r="O28" s="121"/>
      <c r="P28" s="122"/>
    </row>
    <row r="29" spans="1:16" x14ac:dyDescent="0.25">
      <c r="A29" s="118">
        <f>Puntenberekening!$Q$17</f>
        <v>0</v>
      </c>
      <c r="B29" s="130">
        <v>11</v>
      </c>
      <c r="C29" s="123">
        <f>VLOOKUP(A22,'KAVVV Records &amp; age-grading'!$A$30:$C$55,3,FALSE)</f>
        <v>3.0185185185185181E-4</v>
      </c>
      <c r="D29" s="121">
        <f t="shared" ref="D29:N29" si="17">$C29/D23</f>
        <v>3.2311266522356218E-4</v>
      </c>
      <c r="E29" s="121">
        <f t="shared" si="17"/>
        <v>3.3606307264735227E-4</v>
      </c>
      <c r="F29" s="121">
        <f t="shared" si="17"/>
        <v>3.5009493371822292E-4</v>
      </c>
      <c r="G29" s="121">
        <f t="shared" si="17"/>
        <v>3.653496149259886E-4</v>
      </c>
      <c r="H29" s="121">
        <f t="shared" si="17"/>
        <v>3.8199424430758266E-4</v>
      </c>
      <c r="I29" s="121">
        <f t="shared" si="17"/>
        <v>4.0022785978765819E-4</v>
      </c>
      <c r="J29" s="121">
        <f t="shared" si="17"/>
        <v>4.2706826804166922E-4</v>
      </c>
      <c r="K29" s="121">
        <f t="shared" si="17"/>
        <v>4.611945788416376E-4</v>
      </c>
      <c r="L29" s="121">
        <f t="shared" si="17"/>
        <v>5.1536939021999629E-4</v>
      </c>
      <c r="M29" s="121">
        <f t="shared" si="17"/>
        <v>6.1202727463879111E-4</v>
      </c>
      <c r="N29" s="122">
        <f t="shared" si="17"/>
        <v>8.3847736625514396E-4</v>
      </c>
      <c r="O29" s="121"/>
      <c r="P29" s="122"/>
    </row>
    <row r="30" spans="1:16" x14ac:dyDescent="0.25">
      <c r="B30" s="129"/>
    </row>
    <row r="31" spans="1:16" x14ac:dyDescent="0.25">
      <c r="A31" t="s">
        <v>283</v>
      </c>
      <c r="B31" s="129"/>
      <c r="C31" s="15" t="s">
        <v>243</v>
      </c>
      <c r="D31" s="15" t="s">
        <v>233</v>
      </c>
      <c r="E31" s="15" t="s">
        <v>232</v>
      </c>
      <c r="F31" s="15" t="s">
        <v>234</v>
      </c>
      <c r="G31" s="15" t="s">
        <v>235</v>
      </c>
      <c r="H31" s="15" t="s">
        <v>236</v>
      </c>
      <c r="I31" s="15" t="s">
        <v>237</v>
      </c>
      <c r="J31" s="15" t="s">
        <v>238</v>
      </c>
      <c r="K31" s="15" t="s">
        <v>239</v>
      </c>
      <c r="L31" s="15" t="s">
        <v>240</v>
      </c>
      <c r="M31" s="15" t="s">
        <v>241</v>
      </c>
      <c r="N31" s="15" t="s">
        <v>242</v>
      </c>
      <c r="O31" s="15"/>
      <c r="P31" s="15"/>
    </row>
    <row r="32" spans="1:16" ht="14.4" x14ac:dyDescent="0.3">
      <c r="C32" s="123"/>
      <c r="D32" s="124">
        <f>VLOOKUP($A31,'KAVVV Records &amp; age-grading'!$A$30:$AF$55,20,FALSE)</f>
        <v>0.93664999999999998</v>
      </c>
      <c r="E32" s="124">
        <f>VLOOKUP($A31,'KAVVV Records &amp; age-grading'!$A$30:$AF$55,21,FALSE)</f>
        <v>0.89824999999999999</v>
      </c>
      <c r="F32" s="124">
        <f>VLOOKUP($A31,'KAVVV Records &amp; age-grading'!$A$30:$AF$55,22,FALSE)</f>
        <v>0.85985</v>
      </c>
      <c r="G32" s="124">
        <f>VLOOKUP($A31,'KAVVV Records &amp; age-grading'!$A$30:$AF$55,23,FALSE)</f>
        <v>0.82145000000000001</v>
      </c>
      <c r="H32" s="124">
        <f>VLOOKUP($A31,'KAVVV Records &amp; age-grading'!$A$30:$AF$55,24,FALSE)</f>
        <v>0.78085000000000004</v>
      </c>
      <c r="I32" s="124">
        <f>VLOOKUP($A31,'KAVVV Records &amp; age-grading'!$A$30:$AF$55,25,FALSE)</f>
        <v>0.73714999999999997</v>
      </c>
      <c r="J32" s="124">
        <f>VLOOKUP($A31,'KAVVV Records &amp; age-grading'!$A$30:$AF$55,26,FALSE)</f>
        <v>0.6835</v>
      </c>
      <c r="K32" s="124">
        <f>VLOOKUP($A31,'KAVVV Records &amp; age-grading'!$A$30:$AF$55,27,FALSE)</f>
        <v>0.62169999999999992</v>
      </c>
      <c r="L32" s="124">
        <f>VLOOKUP($A31,'KAVVV Records &amp; age-grading'!$A$30:$AF$55,28,FALSE)</f>
        <v>0.54415000000000002</v>
      </c>
      <c r="M32" s="124">
        <f>VLOOKUP($A31,'KAVVV Records &amp; age-grading'!$A$30:$AF$55,29,FALSE)</f>
        <v>0.44505</v>
      </c>
      <c r="N32" s="124">
        <f>VLOOKUP($A31,'KAVVV Records &amp; age-grading'!$A$30:$AF$55,30,FALSE)</f>
        <v>0.31325000000000003</v>
      </c>
      <c r="O32" s="124"/>
      <c r="P32" s="124"/>
    </row>
    <row r="33" spans="1:16" x14ac:dyDescent="0.25">
      <c r="A33" s="118">
        <f>Puntenberekening!$Q$22</f>
        <v>0.3</v>
      </c>
      <c r="B33" s="130">
        <v>6</v>
      </c>
      <c r="C33" s="120">
        <f>C38*(1+$A33)</f>
        <v>6.481944444444444E-4</v>
      </c>
      <c r="D33" s="121">
        <f t="shared" ref="D33:N33" si="18">$C33/D32</f>
        <v>6.9203485234019583E-4</v>
      </c>
      <c r="E33" s="122">
        <f t="shared" si="18"/>
        <v>7.2161919782292726E-4</v>
      </c>
      <c r="F33" s="122">
        <f t="shared" si="18"/>
        <v>7.5384595504383834E-4</v>
      </c>
      <c r="G33" s="122">
        <f t="shared" si="18"/>
        <v>7.8908569534901017E-4</v>
      </c>
      <c r="H33" s="122">
        <f t="shared" si="18"/>
        <v>8.3011390720938005E-4</v>
      </c>
      <c r="I33" s="122">
        <f t="shared" si="18"/>
        <v>8.7932502807358667E-4</v>
      </c>
      <c r="J33" s="122">
        <f t="shared" si="18"/>
        <v>9.4834593188653166E-4</v>
      </c>
      <c r="K33" s="122">
        <f t="shared" si="18"/>
        <v>1.0426161242471361E-3</v>
      </c>
      <c r="L33" s="122">
        <f t="shared" si="18"/>
        <v>1.1912054478442422E-3</v>
      </c>
      <c r="M33" s="122">
        <f t="shared" si="18"/>
        <v>1.4564530826748554E-3</v>
      </c>
      <c r="N33" s="122">
        <f t="shared" si="18"/>
        <v>2.0692560078034933E-3</v>
      </c>
      <c r="O33" s="121"/>
      <c r="P33" s="122"/>
    </row>
    <row r="34" spans="1:16" x14ac:dyDescent="0.25">
      <c r="A34" s="118">
        <f>Puntenberekening!$Q$21</f>
        <v>0.22</v>
      </c>
      <c r="B34" s="130">
        <v>7</v>
      </c>
      <c r="C34" s="120">
        <f>C38*(1+$A34)</f>
        <v>6.083055555555554E-4</v>
      </c>
      <c r="D34" s="121">
        <f t="shared" ref="D34:N34" si="19">$C34/D32</f>
        <v>6.4944809219618369E-4</v>
      </c>
      <c r="E34" s="122">
        <f t="shared" si="19"/>
        <v>6.7721186257228545E-4</v>
      </c>
      <c r="F34" s="122">
        <f t="shared" si="19"/>
        <v>7.074554347334482E-4</v>
      </c>
      <c r="G34" s="122">
        <f t="shared" si="19"/>
        <v>7.4052657563522474E-4</v>
      </c>
      <c r="H34" s="122">
        <f t="shared" si="19"/>
        <v>7.7902997445803335E-4</v>
      </c>
      <c r="I34" s="122">
        <f t="shared" si="19"/>
        <v>8.2521271865367354E-4</v>
      </c>
      <c r="J34" s="122">
        <f t="shared" si="19"/>
        <v>8.8998618223197577E-4</v>
      </c>
      <c r="K34" s="122">
        <f t="shared" si="19"/>
        <v>9.7845513198577369E-4</v>
      </c>
      <c r="L34" s="122">
        <f t="shared" si="19"/>
        <v>1.1179004972076733E-3</v>
      </c>
      <c r="M34" s="122">
        <f t="shared" si="19"/>
        <v>1.3668252006640948E-3</v>
      </c>
      <c r="N34" s="122">
        <f t="shared" si="19"/>
        <v>1.9419171765540475E-3</v>
      </c>
      <c r="O34" s="121"/>
      <c r="P34" s="122"/>
    </row>
    <row r="35" spans="1:16" x14ac:dyDescent="0.25">
      <c r="A35" s="118">
        <f>Puntenberekening!$Q$20</f>
        <v>0.15</v>
      </c>
      <c r="B35" s="130">
        <v>8</v>
      </c>
      <c r="C35" s="120">
        <f>C38*(1+$A35)</f>
        <v>5.734027777777776E-4</v>
      </c>
      <c r="D35" s="121">
        <f t="shared" ref="D35:N35" si="20">$C35/D32</f>
        <v>6.1218467707017303E-4</v>
      </c>
      <c r="E35" s="122">
        <f t="shared" si="20"/>
        <v>6.3835544422797391E-4</v>
      </c>
      <c r="F35" s="122">
        <f t="shared" si="20"/>
        <v>6.6686372946185687E-4</v>
      </c>
      <c r="G35" s="122">
        <f t="shared" si="20"/>
        <v>6.9803734588566265E-4</v>
      </c>
      <c r="H35" s="122">
        <f t="shared" si="20"/>
        <v>7.3433153330060524E-4</v>
      </c>
      <c r="I35" s="122">
        <f t="shared" si="20"/>
        <v>7.7786444791124961E-4</v>
      </c>
      <c r="J35" s="122">
        <f t="shared" si="20"/>
        <v>8.3892140128423941E-4</v>
      </c>
      <c r="K35" s="122">
        <f t="shared" si="20"/>
        <v>9.2231426375708164E-4</v>
      </c>
      <c r="L35" s="122">
        <f t="shared" si="20"/>
        <v>1.0537586654006754E-3</v>
      </c>
      <c r="M35" s="122">
        <f t="shared" si="20"/>
        <v>1.2884008039046795E-3</v>
      </c>
      <c r="N35" s="122">
        <f t="shared" si="20"/>
        <v>1.8304956992107823E-3</v>
      </c>
      <c r="O35" s="121"/>
      <c r="P35" s="122"/>
    </row>
    <row r="36" spans="1:16" x14ac:dyDescent="0.25">
      <c r="A36" s="118">
        <f>Puntenberekening!$Q$19</f>
        <v>0.09</v>
      </c>
      <c r="B36" s="130">
        <v>9</v>
      </c>
      <c r="C36" s="120">
        <f>C38*(1+$A36)</f>
        <v>5.4348611111111101E-4</v>
      </c>
      <c r="D36" s="121">
        <f t="shared" ref="D36:N36" si="21">$C36/D32</f>
        <v>5.8024460696216417E-4</v>
      </c>
      <c r="E36" s="122">
        <f t="shared" si="21"/>
        <v>6.0504994278999275E-4</v>
      </c>
      <c r="F36" s="122">
        <f t="shared" si="21"/>
        <v>6.3207083922906437E-4</v>
      </c>
      <c r="G36" s="122">
        <f t="shared" si="21"/>
        <v>6.616180061003238E-4</v>
      </c>
      <c r="H36" s="122">
        <f t="shared" si="21"/>
        <v>6.9601858373709541E-4</v>
      </c>
      <c r="I36" s="122">
        <f t="shared" si="21"/>
        <v>7.3728021584631488E-4</v>
      </c>
      <c r="J36" s="122">
        <f t="shared" si="21"/>
        <v>7.951515890433226E-4</v>
      </c>
      <c r="K36" s="122">
        <f t="shared" si="21"/>
        <v>8.7419351956106019E-4</v>
      </c>
      <c r="L36" s="122">
        <f t="shared" si="21"/>
        <v>9.9877995242324919E-4</v>
      </c>
      <c r="M36" s="122">
        <f t="shared" si="21"/>
        <v>1.2211798923966095E-3</v>
      </c>
      <c r="N36" s="122">
        <f t="shared" si="21"/>
        <v>1.7349915757736982E-3</v>
      </c>
      <c r="O36" s="121"/>
      <c r="P36" s="122"/>
    </row>
    <row r="37" spans="1:16" x14ac:dyDescent="0.25">
      <c r="A37" s="118">
        <f>Puntenberekening!$Q$18</f>
        <v>0.04</v>
      </c>
      <c r="B37" s="130">
        <v>10</v>
      </c>
      <c r="C37" s="120">
        <f>C38*(1+$A37)</f>
        <v>5.1855555555555552E-4</v>
      </c>
      <c r="D37" s="121">
        <f t="shared" ref="D37:N37" si="22">$C37/D32</f>
        <v>5.5362788187215668E-4</v>
      </c>
      <c r="E37" s="122">
        <f t="shared" si="22"/>
        <v>5.7729535825834185E-4</v>
      </c>
      <c r="F37" s="122">
        <f t="shared" si="22"/>
        <v>6.030767640350707E-4</v>
      </c>
      <c r="G37" s="122">
        <f t="shared" si="22"/>
        <v>6.3126855627920818E-4</v>
      </c>
      <c r="H37" s="122">
        <f t="shared" si="22"/>
        <v>6.6409112576750395E-4</v>
      </c>
      <c r="I37" s="122">
        <f t="shared" si="22"/>
        <v>7.0346002245886934E-4</v>
      </c>
      <c r="J37" s="122">
        <f t="shared" si="22"/>
        <v>7.5867674550922533E-4</v>
      </c>
      <c r="K37" s="122">
        <f t="shared" si="22"/>
        <v>8.340928993977088E-4</v>
      </c>
      <c r="L37" s="122">
        <f t="shared" si="22"/>
        <v>9.5296435827539377E-4</v>
      </c>
      <c r="M37" s="122">
        <f t="shared" si="22"/>
        <v>1.1651624661398843E-3</v>
      </c>
      <c r="N37" s="122">
        <f t="shared" si="22"/>
        <v>1.6554048062427948E-3</v>
      </c>
      <c r="O37" s="121"/>
      <c r="P37" s="122"/>
    </row>
    <row r="38" spans="1:16" x14ac:dyDescent="0.25">
      <c r="A38" s="118">
        <f>Puntenberekening!$Q$17</f>
        <v>0</v>
      </c>
      <c r="B38" s="130">
        <v>11</v>
      </c>
      <c r="C38" s="123">
        <f>VLOOKUP(A31,'KAVVV Records &amp; age-grading'!$A$30:$C$55,3,FALSE)</f>
        <v>4.9861111111111102E-4</v>
      </c>
      <c r="D38" s="121">
        <f t="shared" ref="D38:N38" si="23">$C38/D32</f>
        <v>5.3233450180015056E-4</v>
      </c>
      <c r="E38" s="122">
        <f t="shared" si="23"/>
        <v>5.5509169063302089E-4</v>
      </c>
      <c r="F38" s="122">
        <f t="shared" si="23"/>
        <v>5.7988150387987562E-4</v>
      </c>
      <c r="G38" s="122">
        <f t="shared" si="23"/>
        <v>6.0698899642231546E-4</v>
      </c>
      <c r="H38" s="122">
        <f t="shared" si="23"/>
        <v>6.3854915939183065E-4</v>
      </c>
      <c r="I38" s="122">
        <f t="shared" si="23"/>
        <v>6.7640386774891277E-4</v>
      </c>
      <c r="J38" s="122">
        <f t="shared" si="23"/>
        <v>7.2949687068194738E-4</v>
      </c>
      <c r="K38" s="122">
        <f t="shared" si="23"/>
        <v>8.0201240326702769E-4</v>
      </c>
      <c r="L38" s="122">
        <f t="shared" si="23"/>
        <v>9.1631188295710929E-4</v>
      </c>
      <c r="M38" s="122">
        <f t="shared" si="23"/>
        <v>1.120348525134504E-3</v>
      </c>
      <c r="N38" s="122">
        <f t="shared" si="23"/>
        <v>1.5917353906180717E-3</v>
      </c>
      <c r="O38" s="121"/>
      <c r="P38" s="122"/>
    </row>
    <row r="39" spans="1:16" x14ac:dyDescent="0.25">
      <c r="B39" s="129"/>
    </row>
    <row r="40" spans="1:16" x14ac:dyDescent="0.25">
      <c r="A40" t="s">
        <v>247</v>
      </c>
      <c r="B40" s="129"/>
      <c r="C40" s="15" t="s">
        <v>243</v>
      </c>
      <c r="D40" s="15" t="s">
        <v>233</v>
      </c>
      <c r="E40" s="15" t="s">
        <v>232</v>
      </c>
      <c r="F40" s="15" t="s">
        <v>234</v>
      </c>
      <c r="G40" s="15" t="s">
        <v>235</v>
      </c>
      <c r="H40" s="15" t="s">
        <v>236</v>
      </c>
      <c r="I40" s="15" t="s">
        <v>237</v>
      </c>
      <c r="J40" s="15" t="s">
        <v>238</v>
      </c>
      <c r="K40" s="15" t="s">
        <v>239</v>
      </c>
      <c r="L40" s="15" t="s">
        <v>240</v>
      </c>
      <c r="M40" s="15" t="s">
        <v>241</v>
      </c>
      <c r="N40" s="15" t="s">
        <v>242</v>
      </c>
      <c r="O40" s="15"/>
      <c r="P40" s="15"/>
    </row>
    <row r="41" spans="1:16" ht="14.4" x14ac:dyDescent="0.3">
      <c r="C41" s="123"/>
      <c r="D41" s="124">
        <f>VLOOKUP($A40,'KAVVV Records &amp; age-grading'!$A$30:$AF$55,20,FALSE)</f>
        <v>0.93910000000000005</v>
      </c>
      <c r="E41" s="124">
        <f>VLOOKUP($A40,'KAVVV Records &amp; age-grading'!$A$30:$AF$55,21,FALSE)</f>
        <v>0.89829999999999999</v>
      </c>
      <c r="F41" s="124">
        <f>VLOOKUP($A40,'KAVVV Records &amp; age-grading'!$A$30:$AF$55,22,FALSE)</f>
        <v>0.85750000000000004</v>
      </c>
      <c r="G41" s="124">
        <f>VLOOKUP($A40,'KAVVV Records &amp; age-grading'!$A$30:$AF$55,23,FALSE)</f>
        <v>0.81669999999999998</v>
      </c>
      <c r="H41" s="124">
        <f>VLOOKUP($A40,'KAVVV Records &amp; age-grading'!$A$30:$AF$55,24,FALSE)</f>
        <v>0.77149999999999996</v>
      </c>
      <c r="I41" s="124">
        <f>VLOOKUP($A40,'KAVVV Records &amp; age-grading'!$A$30:$AF$55,25,FALSE)</f>
        <v>0.72009999999999996</v>
      </c>
      <c r="J41" s="124">
        <f>VLOOKUP($A40,'KAVVV Records &amp; age-grading'!$A$30:$AF$55,26,FALSE)</f>
        <v>0.66020000000000001</v>
      </c>
      <c r="K41" s="124">
        <f>VLOOKUP($A40,'KAVVV Records &amp; age-grading'!$A$30:$AF$55,27,FALSE)</f>
        <v>0.58889999999999998</v>
      </c>
      <c r="L41" s="124">
        <f>VLOOKUP($A40,'KAVVV Records &amp; age-grading'!$A$30:$AF$55,28,FALSE)</f>
        <v>0.50260000000000005</v>
      </c>
      <c r="M41" s="124">
        <f>VLOOKUP($A40,'KAVVV Records &amp; age-grading'!$A$30:$AF$55,29,FALSE)</f>
        <v>0.39689999999999998</v>
      </c>
      <c r="N41" s="124">
        <f>VLOOKUP($A40,'KAVVV Records &amp; age-grading'!$A$30:$AF$55,30,FALSE)</f>
        <v>0.26650000000000001</v>
      </c>
      <c r="O41" s="124"/>
      <c r="P41" s="124"/>
    </row>
    <row r="42" spans="1:16" x14ac:dyDescent="0.25">
      <c r="A42" s="118">
        <f>Puntenberekening!$Q$22</f>
        <v>0.3</v>
      </c>
      <c r="B42" s="130">
        <v>6</v>
      </c>
      <c r="C42" s="122">
        <f>C47*(1+$A42)</f>
        <v>8.8833333333333353E-4</v>
      </c>
      <c r="D42" s="122">
        <f t="shared" ref="D42:N42" si="24">$C42/D41</f>
        <v>9.459411493273703E-4</v>
      </c>
      <c r="E42" s="122">
        <f t="shared" si="24"/>
        <v>9.8890496864447678E-4</v>
      </c>
      <c r="F42" s="122">
        <f t="shared" si="24"/>
        <v>1.0359572400388728E-3</v>
      </c>
      <c r="G42" s="122">
        <f t="shared" si="24"/>
        <v>1.0877107056854825E-3</v>
      </c>
      <c r="H42" s="122">
        <f t="shared" si="24"/>
        <v>1.1514365953769715E-3</v>
      </c>
      <c r="I42" s="122">
        <f t="shared" si="24"/>
        <v>1.2336249594963665E-3</v>
      </c>
      <c r="J42" s="122">
        <f t="shared" si="24"/>
        <v>1.3455518529738467E-3</v>
      </c>
      <c r="K42" s="122">
        <f t="shared" si="24"/>
        <v>1.508462104488595E-3</v>
      </c>
      <c r="L42" s="122">
        <f t="shared" si="24"/>
        <v>1.7674757925454307E-3</v>
      </c>
      <c r="M42" s="122">
        <f t="shared" si="24"/>
        <v>2.2381792223062072E-3</v>
      </c>
      <c r="N42" s="122">
        <f t="shared" si="24"/>
        <v>3.333333333333334E-3</v>
      </c>
      <c r="O42" s="121"/>
      <c r="P42" s="122"/>
    </row>
    <row r="43" spans="1:16" x14ac:dyDescent="0.25">
      <c r="A43" s="118">
        <f>Puntenberekening!$Q$21</f>
        <v>0.22</v>
      </c>
      <c r="B43" s="130">
        <v>7</v>
      </c>
      <c r="C43" s="122">
        <f>C47*(1+$A43)</f>
        <v>8.336666666666668E-4</v>
      </c>
      <c r="D43" s="122">
        <f t="shared" ref="D43:N43" si="25">$C43/D41</f>
        <v>8.8772938629183985E-4</v>
      </c>
      <c r="E43" s="122">
        <f t="shared" si="25"/>
        <v>9.2804927826635518E-4</v>
      </c>
      <c r="F43" s="122">
        <f t="shared" si="25"/>
        <v>9.7220602526724986E-4</v>
      </c>
      <c r="G43" s="122">
        <f t="shared" si="25"/>
        <v>1.0207746622586836E-3</v>
      </c>
      <c r="H43" s="122">
        <f t="shared" si="25"/>
        <v>1.0805789587383886E-3</v>
      </c>
      <c r="I43" s="122">
        <f t="shared" si="25"/>
        <v>1.1577095773735132E-3</v>
      </c>
      <c r="J43" s="122">
        <f t="shared" si="25"/>
        <v>1.2627486620216098E-3</v>
      </c>
      <c r="K43" s="122">
        <f t="shared" si="25"/>
        <v>1.4156336672892966E-3</v>
      </c>
      <c r="L43" s="122">
        <f t="shared" si="25"/>
        <v>1.6587080514657117E-3</v>
      </c>
      <c r="M43" s="122">
        <f t="shared" si="25"/>
        <v>2.1004451163181325E-3</v>
      </c>
      <c r="N43" s="122">
        <f t="shared" si="25"/>
        <v>3.1282051282051286E-3</v>
      </c>
      <c r="O43" s="121"/>
      <c r="P43" s="122"/>
    </row>
    <row r="44" spans="1:16" x14ac:dyDescent="0.25">
      <c r="A44" s="118">
        <f>Puntenberekening!$Q$20</f>
        <v>0.15</v>
      </c>
      <c r="B44" s="130">
        <v>8</v>
      </c>
      <c r="C44" s="122">
        <f>C47*(1+$A44)</f>
        <v>7.8583333333333337E-4</v>
      </c>
      <c r="D44" s="122">
        <f t="shared" ref="D44:N44" si="26">$C44/D41</f>
        <v>8.3679409363575049E-4</v>
      </c>
      <c r="E44" s="122">
        <f t="shared" si="26"/>
        <v>8.7480054918549863E-4</v>
      </c>
      <c r="F44" s="122">
        <f t="shared" si="26"/>
        <v>9.1642371234207972E-4</v>
      </c>
      <c r="G44" s="122">
        <f t="shared" si="26"/>
        <v>9.6220562426023437E-4</v>
      </c>
      <c r="H44" s="122">
        <f t="shared" si="26"/>
        <v>1.0185785266796285E-3</v>
      </c>
      <c r="I44" s="122">
        <f t="shared" si="26"/>
        <v>1.0912836180160164E-3</v>
      </c>
      <c r="J44" s="122">
        <f t="shared" si="26"/>
        <v>1.1902958699384026E-3</v>
      </c>
      <c r="K44" s="122">
        <f t="shared" si="26"/>
        <v>1.3344087847399107E-3</v>
      </c>
      <c r="L44" s="122">
        <f t="shared" si="26"/>
        <v>1.5635362780209575E-3</v>
      </c>
      <c r="M44" s="122">
        <f t="shared" si="26"/>
        <v>1.9799277735785673E-3</v>
      </c>
      <c r="N44" s="122">
        <f t="shared" si="26"/>
        <v>2.9487179487179488E-3</v>
      </c>
      <c r="O44" s="121"/>
      <c r="P44" s="122"/>
    </row>
    <row r="45" spans="1:16" x14ac:dyDescent="0.25">
      <c r="A45" s="118">
        <f>Puntenberekening!$Q$19</f>
        <v>0.09</v>
      </c>
      <c r="B45" s="130">
        <v>9</v>
      </c>
      <c r="C45" s="122">
        <f>C47*(1+$A45)</f>
        <v>7.4483333333333346E-4</v>
      </c>
      <c r="D45" s="122">
        <f t="shared" ref="D45:N45" si="27">$C45/D41</f>
        <v>7.9313527135910277E-4</v>
      </c>
      <c r="E45" s="122">
        <f t="shared" si="27"/>
        <v>8.2915878140190746E-4</v>
      </c>
      <c r="F45" s="122">
        <f t="shared" si="27"/>
        <v>8.6861030126336258E-4</v>
      </c>
      <c r="G45" s="122">
        <f t="shared" si="27"/>
        <v>9.1200359169013524E-4</v>
      </c>
      <c r="H45" s="122">
        <f t="shared" si="27"/>
        <v>9.6543529920069151E-4</v>
      </c>
      <c r="I45" s="122">
        <f t="shared" si="27"/>
        <v>1.0343470814238765E-3</v>
      </c>
      <c r="J45" s="122">
        <f t="shared" si="27"/>
        <v>1.1281934767242252E-3</v>
      </c>
      <c r="K45" s="122">
        <f t="shared" si="27"/>
        <v>1.2647874568404373E-3</v>
      </c>
      <c r="L45" s="122">
        <f t="shared" si="27"/>
        <v>1.4819604722111687E-3</v>
      </c>
      <c r="M45" s="122">
        <f t="shared" si="27"/>
        <v>1.876627194087512E-3</v>
      </c>
      <c r="N45" s="122">
        <f t="shared" si="27"/>
        <v>2.7948717948717951E-3</v>
      </c>
      <c r="O45" s="121"/>
      <c r="P45" s="122"/>
    </row>
    <row r="46" spans="1:16" x14ac:dyDescent="0.25">
      <c r="A46" s="118">
        <f>Puntenberekening!$Q$18</f>
        <v>0.04</v>
      </c>
      <c r="B46" s="130">
        <v>10</v>
      </c>
      <c r="C46" s="122">
        <f>C47*(1+$A46)</f>
        <v>7.1066666666666674E-4</v>
      </c>
      <c r="D46" s="122">
        <f t="shared" ref="D46:N46" si="28">$C46/D41</f>
        <v>7.5675291946189613E-4</v>
      </c>
      <c r="E46" s="122">
        <f t="shared" si="28"/>
        <v>7.9112397491558134E-4</v>
      </c>
      <c r="F46" s="122">
        <f t="shared" si="28"/>
        <v>8.2876579203109823E-4</v>
      </c>
      <c r="G46" s="122">
        <f t="shared" si="28"/>
        <v>8.7016856454838584E-4</v>
      </c>
      <c r="H46" s="122">
        <f t="shared" si="28"/>
        <v>9.2114927630157712E-4</v>
      </c>
      <c r="I46" s="122">
        <f t="shared" si="28"/>
        <v>9.8689996759709323E-4</v>
      </c>
      <c r="J46" s="122">
        <f t="shared" si="28"/>
        <v>1.076441482379077E-3</v>
      </c>
      <c r="K46" s="122">
        <f t="shared" si="28"/>
        <v>1.2067696835908759E-3</v>
      </c>
      <c r="L46" s="122">
        <f t="shared" si="28"/>
        <v>1.4139806340363443E-3</v>
      </c>
      <c r="M46" s="122">
        <f t="shared" si="28"/>
        <v>1.7905433778449655E-3</v>
      </c>
      <c r="N46" s="122">
        <f t="shared" si="28"/>
        <v>2.6666666666666666E-3</v>
      </c>
      <c r="O46" s="121"/>
      <c r="P46" s="122"/>
    </row>
    <row r="47" spans="1:16" x14ac:dyDescent="0.25">
      <c r="A47" s="118">
        <f>Puntenberekening!$Q$17</f>
        <v>0</v>
      </c>
      <c r="B47" s="130">
        <v>11</v>
      </c>
      <c r="C47" s="122">
        <f>VLOOKUP(A40,'KAVVV Records &amp; age-grading'!$A$30:$C$55,3,FALSE)</f>
        <v>6.8333333333333343E-4</v>
      </c>
      <c r="D47" s="122">
        <f t="shared" ref="D47:N47" si="29">$C47/D41</f>
        <v>7.2764703794413101E-4</v>
      </c>
      <c r="E47" s="122">
        <f t="shared" si="29"/>
        <v>7.6069612972652059E-4</v>
      </c>
      <c r="F47" s="122">
        <f t="shared" si="29"/>
        <v>7.9689018464528677E-4</v>
      </c>
      <c r="G47" s="122">
        <f t="shared" si="29"/>
        <v>8.367005428349865E-4</v>
      </c>
      <c r="H47" s="122">
        <f t="shared" si="29"/>
        <v>8.8572045798228577E-4</v>
      </c>
      <c r="I47" s="122">
        <f t="shared" si="29"/>
        <v>9.4894227653566647E-4</v>
      </c>
      <c r="J47" s="122">
        <f t="shared" si="29"/>
        <v>1.0350398869029588E-3</v>
      </c>
      <c r="K47" s="122">
        <f t="shared" si="29"/>
        <v>1.1603554649912268E-3</v>
      </c>
      <c r="L47" s="122">
        <f t="shared" si="29"/>
        <v>1.359596763496485E-3</v>
      </c>
      <c r="M47" s="122">
        <f t="shared" si="29"/>
        <v>1.7216763248509284E-3</v>
      </c>
      <c r="N47" s="122">
        <f t="shared" si="29"/>
        <v>2.5641025641025641E-3</v>
      </c>
      <c r="O47" s="121"/>
      <c r="P47" s="122"/>
    </row>
    <row r="48" spans="1:16" x14ac:dyDescent="0.25">
      <c r="B48" s="129"/>
    </row>
    <row r="49" spans="1:16" x14ac:dyDescent="0.25">
      <c r="A49" t="s">
        <v>277</v>
      </c>
      <c r="B49" s="129"/>
      <c r="C49" s="15" t="s">
        <v>243</v>
      </c>
      <c r="D49" s="15" t="s">
        <v>233</v>
      </c>
      <c r="E49" s="15" t="s">
        <v>232</v>
      </c>
      <c r="F49" s="15" t="s">
        <v>234</v>
      </c>
      <c r="G49" s="15" t="s">
        <v>235</v>
      </c>
      <c r="H49" s="15" t="s">
        <v>236</v>
      </c>
      <c r="I49" s="15" t="s">
        <v>237</v>
      </c>
      <c r="J49" s="15" t="s">
        <v>238</v>
      </c>
      <c r="K49" s="15" t="s">
        <v>239</v>
      </c>
      <c r="L49" s="15" t="s">
        <v>240</v>
      </c>
      <c r="M49" s="15" t="s">
        <v>241</v>
      </c>
      <c r="N49" s="15" t="s">
        <v>242</v>
      </c>
      <c r="O49" s="15"/>
      <c r="P49" s="15"/>
    </row>
    <row r="50" spans="1:16" ht="14.4" x14ac:dyDescent="0.3">
      <c r="C50" s="123"/>
      <c r="D50" s="124">
        <f>VLOOKUP($A49,'KAVVV Records &amp; age-grading'!$A$30:$AF$55,20,FALSE)</f>
        <v>0.94640000000000002</v>
      </c>
      <c r="E50" s="124">
        <f>VLOOKUP($A49,'KAVVV Records &amp; age-grading'!$A$30:$AF$55,21,FALSE)</f>
        <v>0.90529999999999999</v>
      </c>
      <c r="F50" s="124">
        <f>VLOOKUP($A49,'KAVVV Records &amp; age-grading'!$A$30:$AF$55,22,FALSE)</f>
        <v>0.86420000000000008</v>
      </c>
      <c r="G50" s="124">
        <f>VLOOKUP($A49,'KAVVV Records &amp; age-grading'!$A$30:$AF$55,23,FALSE)</f>
        <v>0.82309999999999994</v>
      </c>
      <c r="H50" s="124">
        <f>VLOOKUP($A49,'KAVVV Records &amp; age-grading'!$A$30:$AF$55,24,FALSE)</f>
        <v>0.77815000000000001</v>
      </c>
      <c r="I50" s="124">
        <f>VLOOKUP($A49,'KAVVV Records &amp; age-grading'!$A$30:$AF$55,25,FALSE)</f>
        <v>0.72714999999999996</v>
      </c>
      <c r="J50" s="124">
        <f>VLOOKUP($A49,'KAVVV Records &amp; age-grading'!$A$30:$AF$55,26,FALSE)</f>
        <v>0.66769999999999996</v>
      </c>
      <c r="K50" s="124">
        <f>VLOOKUP($A49,'KAVVV Records &amp; age-grading'!$A$30:$AF$55,27,FALSE)</f>
        <v>0.59709999999999996</v>
      </c>
      <c r="L50" s="124">
        <f>VLOOKUP($A49,'KAVVV Records &amp; age-grading'!$A$30:$AF$55,28,FALSE)</f>
        <v>0.51229999999999998</v>
      </c>
      <c r="M50" s="124">
        <f>VLOOKUP($A49,'KAVVV Records &amp; age-grading'!$A$30:$AF$55,29,FALSE)</f>
        <v>0.40984999999999999</v>
      </c>
      <c r="N50" s="124">
        <f>VLOOKUP($A49,'KAVVV Records &amp; age-grading'!$A$30:$AF$55,30,FALSE)</f>
        <v>0.28585000000000005</v>
      </c>
      <c r="O50" s="124"/>
      <c r="P50" s="124"/>
    </row>
    <row r="51" spans="1:16" x14ac:dyDescent="0.25">
      <c r="A51" s="118">
        <f>Puntenberekening!$Q$22</f>
        <v>0.3</v>
      </c>
      <c r="B51" s="130">
        <v>6</v>
      </c>
      <c r="C51" s="122">
        <f>C56*(1+$A51)</f>
        <v>1.6278587962962963E-3</v>
      </c>
      <c r="D51" s="122">
        <f t="shared" ref="D51:N51" si="30">$C51/D50</f>
        <v>1.7200536731786732E-3</v>
      </c>
      <c r="E51" s="122">
        <f t="shared" si="30"/>
        <v>1.7981429319521664E-3</v>
      </c>
      <c r="F51" s="122">
        <f t="shared" si="30"/>
        <v>1.883659796686295E-3</v>
      </c>
      <c r="G51" s="122">
        <f t="shared" si="30"/>
        <v>1.977716919324865E-3</v>
      </c>
      <c r="H51" s="122">
        <f t="shared" si="30"/>
        <v>2.0919601571628816E-3</v>
      </c>
      <c r="I51" s="122">
        <f t="shared" si="30"/>
        <v>2.2386836227687498E-3</v>
      </c>
      <c r="J51" s="122">
        <f t="shared" si="30"/>
        <v>2.4380092800603509E-3</v>
      </c>
      <c r="K51" s="122">
        <f t="shared" si="30"/>
        <v>2.7262749896102769E-3</v>
      </c>
      <c r="L51" s="122">
        <f t="shared" si="30"/>
        <v>3.1775498658916579E-3</v>
      </c>
      <c r="M51" s="122">
        <f t="shared" si="30"/>
        <v>3.97184042038867E-3</v>
      </c>
      <c r="N51" s="122">
        <f t="shared" si="30"/>
        <v>5.6948007566776145E-3</v>
      </c>
      <c r="O51" s="121"/>
      <c r="P51" s="122"/>
    </row>
    <row r="52" spans="1:16" x14ac:dyDescent="0.25">
      <c r="A52" s="118">
        <f>Puntenberekening!$Q$21</f>
        <v>0.22</v>
      </c>
      <c r="B52" s="130">
        <v>7</v>
      </c>
      <c r="C52" s="122">
        <f>C56*(1+$A52)</f>
        <v>1.5276828703703702E-3</v>
      </c>
      <c r="D52" s="122">
        <f t="shared" ref="D52:N52" si="31">$C52/D50</f>
        <v>1.6142042163676776E-3</v>
      </c>
      <c r="E52" s="122">
        <f t="shared" si="31"/>
        <v>1.6874879822935715E-3</v>
      </c>
      <c r="F52" s="122">
        <f t="shared" si="31"/>
        <v>1.767742270736369E-3</v>
      </c>
      <c r="G52" s="122">
        <f t="shared" si="31"/>
        <v>1.856011262751027E-3</v>
      </c>
      <c r="H52" s="122">
        <f t="shared" si="31"/>
        <v>1.9632241474913195E-3</v>
      </c>
      <c r="I52" s="122">
        <f t="shared" si="31"/>
        <v>2.1009184767522113E-3</v>
      </c>
      <c r="J52" s="122">
        <f t="shared" si="31"/>
        <v>2.2879779397489445E-3</v>
      </c>
      <c r="K52" s="122">
        <f t="shared" si="31"/>
        <v>2.5585042210188752E-3</v>
      </c>
      <c r="L52" s="122">
        <f t="shared" si="31"/>
        <v>2.9820083356829402E-3</v>
      </c>
      <c r="M52" s="122">
        <f t="shared" si="31"/>
        <v>3.7274194714416744E-3</v>
      </c>
      <c r="N52" s="122">
        <f t="shared" si="31"/>
        <v>5.3443514793436063E-3</v>
      </c>
      <c r="O52" s="121"/>
      <c r="P52" s="122"/>
    </row>
    <row r="53" spans="1:16" x14ac:dyDescent="0.25">
      <c r="A53" s="118">
        <f>Puntenberekening!$Q$20</f>
        <v>0.15</v>
      </c>
      <c r="B53" s="130">
        <v>8</v>
      </c>
      <c r="C53" s="122">
        <f>C56*(1+$A53)</f>
        <v>1.440028935185185E-3</v>
      </c>
      <c r="D53" s="122">
        <f t="shared" ref="D53:N53" si="32">$C53/D50</f>
        <v>1.5215859416580569E-3</v>
      </c>
      <c r="E53" s="122">
        <f t="shared" si="32"/>
        <v>1.590664901342301E-3</v>
      </c>
      <c r="F53" s="122">
        <f t="shared" si="32"/>
        <v>1.6663144355301839E-3</v>
      </c>
      <c r="G53" s="122">
        <f t="shared" si="32"/>
        <v>1.749518813248919E-3</v>
      </c>
      <c r="H53" s="122">
        <f t="shared" si="32"/>
        <v>1.8505801390287027E-3</v>
      </c>
      <c r="I53" s="122">
        <f t="shared" si="32"/>
        <v>1.98037397398774E-3</v>
      </c>
      <c r="J53" s="122">
        <f t="shared" si="32"/>
        <v>2.1567005169764644E-3</v>
      </c>
      <c r="K53" s="122">
        <f t="shared" si="32"/>
        <v>2.4117047985013984E-3</v>
      </c>
      <c r="L53" s="122">
        <f t="shared" si="32"/>
        <v>2.8109094967503126E-3</v>
      </c>
      <c r="M53" s="122">
        <f t="shared" si="32"/>
        <v>3.5135511411130537E-3</v>
      </c>
      <c r="N53" s="122">
        <f t="shared" si="32"/>
        <v>5.0377083616763504E-3</v>
      </c>
      <c r="O53" s="121"/>
      <c r="P53" s="122"/>
    </row>
    <row r="54" spans="1:16" x14ac:dyDescent="0.25">
      <c r="A54" s="118">
        <f>Puntenberekening!$Q$19</f>
        <v>0.09</v>
      </c>
      <c r="B54" s="130">
        <v>9</v>
      </c>
      <c r="C54" s="122">
        <f>C56*(1+$A54)</f>
        <v>1.3648969907407407E-3</v>
      </c>
      <c r="D54" s="122">
        <f t="shared" ref="D54:N54" si="33">$C54/D50</f>
        <v>1.4421988490498105E-3</v>
      </c>
      <c r="E54" s="122">
        <f t="shared" si="33"/>
        <v>1.5076736890983549E-3</v>
      </c>
      <c r="F54" s="122">
        <f t="shared" si="33"/>
        <v>1.5793762910677397E-3</v>
      </c>
      <c r="G54" s="122">
        <f t="shared" si="33"/>
        <v>1.6582395708185406E-3</v>
      </c>
      <c r="H54" s="122">
        <f t="shared" si="33"/>
        <v>1.7540281317750313E-3</v>
      </c>
      <c r="I54" s="122">
        <f t="shared" si="33"/>
        <v>1.8770501144753362E-3</v>
      </c>
      <c r="J54" s="122">
        <f t="shared" si="33"/>
        <v>2.0441770117429099E-3</v>
      </c>
      <c r="K54" s="122">
        <f t="shared" si="33"/>
        <v>2.2858767220578476E-3</v>
      </c>
      <c r="L54" s="122">
        <f t="shared" si="33"/>
        <v>2.6642533490937748E-3</v>
      </c>
      <c r="M54" s="122">
        <f t="shared" si="33"/>
        <v>3.330235429402808E-3</v>
      </c>
      <c r="N54" s="122">
        <f t="shared" si="33"/>
        <v>4.7748714036758453E-3</v>
      </c>
      <c r="O54" s="121"/>
      <c r="P54" s="122"/>
    </row>
    <row r="55" spans="1:16" x14ac:dyDescent="0.25">
      <c r="A55" s="118">
        <f>Puntenberekening!$Q$18</f>
        <v>0.04</v>
      </c>
      <c r="B55" s="130">
        <v>10</v>
      </c>
      <c r="C55" s="122">
        <f>C56*(1+$A55)</f>
        <v>1.3022870370370369E-3</v>
      </c>
      <c r="D55" s="122">
        <f t="shared" ref="D55:N55" si="34">$C55/D50</f>
        <v>1.3760429385429383E-3</v>
      </c>
      <c r="E55" s="122">
        <f t="shared" si="34"/>
        <v>1.438514345561733E-3</v>
      </c>
      <c r="F55" s="122">
        <f t="shared" si="34"/>
        <v>1.5069278373490359E-3</v>
      </c>
      <c r="G55" s="122">
        <f t="shared" si="34"/>
        <v>1.5821735354598918E-3</v>
      </c>
      <c r="H55" s="122">
        <f t="shared" si="34"/>
        <v>1.6735681257303051E-3</v>
      </c>
      <c r="I55" s="122">
        <f t="shared" si="34"/>
        <v>1.7909468982149996E-3</v>
      </c>
      <c r="J55" s="122">
        <f t="shared" si="34"/>
        <v>1.9504074240482806E-3</v>
      </c>
      <c r="K55" s="122">
        <f t="shared" si="34"/>
        <v>2.1810199916882213E-3</v>
      </c>
      <c r="L55" s="122">
        <f t="shared" si="34"/>
        <v>2.5420398927133263E-3</v>
      </c>
      <c r="M55" s="122">
        <f t="shared" si="34"/>
        <v>3.1774723363109355E-3</v>
      </c>
      <c r="N55" s="122">
        <f t="shared" si="34"/>
        <v>4.5558406053420909E-3</v>
      </c>
      <c r="O55" s="121"/>
      <c r="P55" s="122"/>
    </row>
    <row r="56" spans="1:16" x14ac:dyDescent="0.25">
      <c r="A56" s="118">
        <f>Puntenberekening!$Q$17</f>
        <v>0</v>
      </c>
      <c r="B56" s="130">
        <v>11</v>
      </c>
      <c r="C56" s="122">
        <f>VLOOKUP(A49,'KAVVV Records &amp; age-grading'!$A$30:$C$55,3,FALSE)</f>
        <v>1.252199074074074E-3</v>
      </c>
      <c r="D56" s="122">
        <f t="shared" ref="D56:N56" si="35">$C56/D50</f>
        <v>1.3231182101374407E-3</v>
      </c>
      <c r="E56" s="122">
        <f t="shared" si="35"/>
        <v>1.3831868707324356E-3</v>
      </c>
      <c r="F56" s="122">
        <f t="shared" si="35"/>
        <v>1.4489690743740729E-3</v>
      </c>
      <c r="G56" s="122">
        <f t="shared" si="35"/>
        <v>1.521320707172973E-3</v>
      </c>
      <c r="H56" s="122">
        <f t="shared" si="35"/>
        <v>1.6092001208945241E-3</v>
      </c>
      <c r="I56" s="122">
        <f t="shared" si="35"/>
        <v>1.7220643252067304E-3</v>
      </c>
      <c r="J56" s="122">
        <f t="shared" si="35"/>
        <v>1.8753917538925776E-3</v>
      </c>
      <c r="K56" s="122">
        <f t="shared" si="35"/>
        <v>2.0971346073925205E-3</v>
      </c>
      <c r="L56" s="122">
        <f t="shared" si="35"/>
        <v>2.4442691276089674E-3</v>
      </c>
      <c r="M56" s="122">
        <f t="shared" si="35"/>
        <v>3.0552618618374383E-3</v>
      </c>
      <c r="N56" s="122">
        <f t="shared" si="35"/>
        <v>4.3806159666750872E-3</v>
      </c>
      <c r="O56" s="121"/>
      <c r="P56" s="122"/>
    </row>
    <row r="57" spans="1:16" x14ac:dyDescent="0.25">
      <c r="B57" s="129"/>
    </row>
    <row r="58" spans="1:16" x14ac:dyDescent="0.25">
      <c r="A58" t="s">
        <v>248</v>
      </c>
      <c r="B58" s="129"/>
      <c r="C58" s="15" t="s">
        <v>243</v>
      </c>
      <c r="D58" s="15" t="s">
        <v>233</v>
      </c>
      <c r="E58" s="15" t="s">
        <v>232</v>
      </c>
      <c r="F58" s="15" t="s">
        <v>234</v>
      </c>
      <c r="G58" s="15" t="s">
        <v>235</v>
      </c>
      <c r="H58" s="15" t="s">
        <v>236</v>
      </c>
      <c r="I58" s="15" t="s">
        <v>237</v>
      </c>
      <c r="J58" s="15" t="s">
        <v>238</v>
      </c>
      <c r="K58" s="15" t="s">
        <v>239</v>
      </c>
      <c r="L58" s="15" t="s">
        <v>240</v>
      </c>
      <c r="M58" s="15" t="s">
        <v>241</v>
      </c>
      <c r="N58" s="15" t="s">
        <v>242</v>
      </c>
      <c r="O58" s="15"/>
      <c r="P58" s="15"/>
    </row>
    <row r="59" spans="1:16" ht="14.4" x14ac:dyDescent="0.3">
      <c r="C59" s="123"/>
      <c r="D59" s="124">
        <f>VLOOKUP($A58,'KAVVV Records &amp; age-grading'!$A$30:$AF$55,20,FALSE)</f>
        <v>0.95369999999999999</v>
      </c>
      <c r="E59" s="124">
        <f>VLOOKUP($A58,'KAVVV Records &amp; age-grading'!$A$30:$AF$55,21,FALSE)</f>
        <v>0.9123</v>
      </c>
      <c r="F59" s="124">
        <f>VLOOKUP($A58,'KAVVV Records &amp; age-grading'!$A$30:$AF$55,22,FALSE)</f>
        <v>0.87090000000000001</v>
      </c>
      <c r="G59" s="124">
        <f>VLOOKUP($A58,'KAVVV Records &amp; age-grading'!$A$30:$AF$55,23,FALSE)</f>
        <v>0.82950000000000002</v>
      </c>
      <c r="H59" s="124">
        <f>VLOOKUP($A58,'KAVVV Records &amp; age-grading'!$A$30:$AF$55,24,FALSE)</f>
        <v>0.78480000000000005</v>
      </c>
      <c r="I59" s="124">
        <f>VLOOKUP($A58,'KAVVV Records &amp; age-grading'!$A$30:$AF$55,25,FALSE)</f>
        <v>0.73419999999999996</v>
      </c>
      <c r="J59" s="124">
        <f>VLOOKUP($A58,'KAVVV Records &amp; age-grading'!$A$30:$AF$55,26,FALSE)</f>
        <v>0.67520000000000002</v>
      </c>
      <c r="K59" s="124">
        <f>VLOOKUP($A58,'KAVVV Records &amp; age-grading'!$A$30:$AF$55,27,FALSE)</f>
        <v>0.60529999999999995</v>
      </c>
      <c r="L59" s="124">
        <f>VLOOKUP($A58,'KAVVV Records &amp; age-grading'!$A$30:$AF$55,28,FALSE)</f>
        <v>0.52200000000000002</v>
      </c>
      <c r="M59" s="124">
        <f>VLOOKUP($A58,'KAVVV Records &amp; age-grading'!$A$30:$AF$55,29,FALSE)</f>
        <v>0.42280000000000001</v>
      </c>
      <c r="N59" s="124">
        <f>VLOOKUP($A58,'KAVVV Records &amp; age-grading'!$A$30:$AF$55,30,FALSE)</f>
        <v>0.30520000000000003</v>
      </c>
      <c r="O59" s="124"/>
      <c r="P59" s="124"/>
    </row>
    <row r="60" spans="1:16" x14ac:dyDescent="0.25">
      <c r="A60" s="118">
        <f>Puntenberekening!$Q$22</f>
        <v>0.3</v>
      </c>
      <c r="B60" s="130">
        <v>6</v>
      </c>
      <c r="C60" s="122">
        <f>C65*(1+$A60)</f>
        <v>2.065856481481481E-3</v>
      </c>
      <c r="D60" s="122">
        <f t="shared" ref="D60:N60" si="36">$C60/D59</f>
        <v>2.1661491889288886E-3</v>
      </c>
      <c r="E60" s="122">
        <f t="shared" si="36"/>
        <v>2.2644486259799199E-3</v>
      </c>
      <c r="F60" s="122">
        <f t="shared" si="36"/>
        <v>2.3720937897364577E-3</v>
      </c>
      <c r="G60" s="122">
        <f t="shared" si="36"/>
        <v>2.4904840041970839E-3</v>
      </c>
      <c r="H60" s="122">
        <f t="shared" si="36"/>
        <v>2.6323349662098379E-3</v>
      </c>
      <c r="I60" s="122">
        <f t="shared" si="36"/>
        <v>2.8137516773106526E-3</v>
      </c>
      <c r="J60" s="122">
        <f t="shared" si="36"/>
        <v>3.059621566175179E-3</v>
      </c>
      <c r="K60" s="122">
        <f t="shared" si="36"/>
        <v>3.4129464422294419E-3</v>
      </c>
      <c r="L60" s="122">
        <f t="shared" si="36"/>
        <v>3.9575794664396188E-3</v>
      </c>
      <c r="M60" s="122">
        <f t="shared" si="36"/>
        <v>4.8861316969760664E-3</v>
      </c>
      <c r="N60" s="122">
        <f t="shared" si="36"/>
        <v>6.7688613416824403E-3</v>
      </c>
      <c r="O60" s="121"/>
      <c r="P60" s="122"/>
    </row>
    <row r="61" spans="1:16" x14ac:dyDescent="0.25">
      <c r="A61" s="118">
        <f>Puntenberekening!$Q$21</f>
        <v>0.22</v>
      </c>
      <c r="B61" s="130">
        <v>7</v>
      </c>
      <c r="C61" s="122">
        <f>C65*(1+$A61)</f>
        <v>1.9387268518518514E-3</v>
      </c>
      <c r="D61" s="122">
        <f t="shared" ref="D61:N61" si="37">$C61/D59</f>
        <v>2.0328477003794185E-3</v>
      </c>
      <c r="E61" s="122">
        <f t="shared" si="37"/>
        <v>2.1250979413042327E-3</v>
      </c>
      <c r="F61" s="122">
        <f t="shared" si="37"/>
        <v>2.2261187872911373E-3</v>
      </c>
      <c r="G61" s="122">
        <f t="shared" si="37"/>
        <v>2.3372234500926479E-3</v>
      </c>
      <c r="H61" s="122">
        <f t="shared" si="37"/>
        <v>2.4703451221353865E-3</v>
      </c>
      <c r="I61" s="122">
        <f t="shared" si="37"/>
        <v>2.6405977279376895E-3</v>
      </c>
      <c r="J61" s="122">
        <f t="shared" si="37"/>
        <v>2.8713371621028605E-3</v>
      </c>
      <c r="K61" s="122">
        <f t="shared" si="37"/>
        <v>3.2029189688614762E-3</v>
      </c>
      <c r="L61" s="122">
        <f t="shared" si="37"/>
        <v>3.7140361146587191E-3</v>
      </c>
      <c r="M61" s="122">
        <f t="shared" si="37"/>
        <v>4.5854466694698476E-3</v>
      </c>
      <c r="N61" s="122">
        <f t="shared" si="37"/>
        <v>6.3523160283481366E-3</v>
      </c>
      <c r="O61" s="121"/>
      <c r="P61" s="122"/>
    </row>
    <row r="62" spans="1:16" x14ac:dyDescent="0.25">
      <c r="A62" s="118">
        <f>Puntenberekening!$Q$20</f>
        <v>0.15</v>
      </c>
      <c r="B62" s="130">
        <v>8</v>
      </c>
      <c r="C62" s="122">
        <f>C65*(1+$A62)</f>
        <v>1.8274884259259255E-3</v>
      </c>
      <c r="D62" s="122">
        <f t="shared" ref="D62:N62" si="38">$C62/D59</f>
        <v>1.9162088978986322E-3</v>
      </c>
      <c r="E62" s="122">
        <f t="shared" si="38"/>
        <v>2.0031660922130061E-3</v>
      </c>
      <c r="F62" s="122">
        <f t="shared" si="38"/>
        <v>2.098390660151482E-3</v>
      </c>
      <c r="G62" s="122">
        <f t="shared" si="38"/>
        <v>2.2031204652512666E-3</v>
      </c>
      <c r="H62" s="122">
        <f t="shared" si="38"/>
        <v>2.3286040085702415E-3</v>
      </c>
      <c r="I62" s="122">
        <f t="shared" si="38"/>
        <v>2.4890880222363464E-3</v>
      </c>
      <c r="J62" s="122">
        <f t="shared" si="38"/>
        <v>2.7065883085395817E-3</v>
      </c>
      <c r="K62" s="122">
        <f t="shared" si="38"/>
        <v>3.0191449296645065E-3</v>
      </c>
      <c r="L62" s="122">
        <f t="shared" si="38"/>
        <v>3.5009356818504317E-3</v>
      </c>
      <c r="M62" s="122">
        <f t="shared" si="38"/>
        <v>4.3223472704019055E-3</v>
      </c>
      <c r="N62" s="122">
        <f t="shared" si="38"/>
        <v>5.9878388791806203E-3</v>
      </c>
      <c r="O62" s="121"/>
      <c r="P62" s="122"/>
    </row>
    <row r="63" spans="1:16" x14ac:dyDescent="0.25">
      <c r="A63" s="118">
        <f>Puntenberekening!$Q$19</f>
        <v>0.09</v>
      </c>
      <c r="B63" s="130">
        <v>9</v>
      </c>
      <c r="C63" s="122">
        <f>C65*(1+$A63)</f>
        <v>1.7321412037037036E-3</v>
      </c>
      <c r="D63" s="122">
        <f t="shared" ref="D63:N63" si="39">$C63/D59</f>
        <v>1.8162327814865299E-3</v>
      </c>
      <c r="E63" s="122">
        <f t="shared" si="39"/>
        <v>1.8986530787062409E-3</v>
      </c>
      <c r="F63" s="122">
        <f t="shared" si="39"/>
        <v>1.9889094083174919E-3</v>
      </c>
      <c r="G63" s="122">
        <f t="shared" si="39"/>
        <v>2.0881750496729396E-3</v>
      </c>
      <c r="H63" s="122">
        <f t="shared" si="39"/>
        <v>2.2071116255144032E-3</v>
      </c>
      <c r="I63" s="122">
        <f t="shared" si="39"/>
        <v>2.3592225602066244E-3</v>
      </c>
      <c r="J63" s="122">
        <f t="shared" si="39"/>
        <v>2.565375005485343E-3</v>
      </c>
      <c r="K63" s="122">
        <f t="shared" si="39"/>
        <v>2.8616243246385327E-3</v>
      </c>
      <c r="L63" s="122">
        <f t="shared" si="39"/>
        <v>3.3182781680147579E-3</v>
      </c>
      <c r="M63" s="122">
        <f t="shared" si="39"/>
        <v>4.0968334997722412E-3</v>
      </c>
      <c r="N63" s="122">
        <f t="shared" si="39"/>
        <v>5.6754298941798934E-3</v>
      </c>
      <c r="O63" s="121"/>
      <c r="P63" s="122"/>
    </row>
    <row r="64" spans="1:16" x14ac:dyDescent="0.25">
      <c r="A64" s="118">
        <f>Puntenberekening!$Q$18</f>
        <v>0.04</v>
      </c>
      <c r="B64" s="130">
        <v>10</v>
      </c>
      <c r="C64" s="122">
        <f>C65*(1+$A64)</f>
        <v>1.652685185185185E-3</v>
      </c>
      <c r="D64" s="122">
        <f t="shared" ref="D64:N64" si="40">$C64/D59</f>
        <v>1.732919351143111E-3</v>
      </c>
      <c r="E64" s="122">
        <f t="shared" si="40"/>
        <v>1.8115589007839362E-3</v>
      </c>
      <c r="F64" s="122">
        <f t="shared" si="40"/>
        <v>1.8976750317891663E-3</v>
      </c>
      <c r="G64" s="122">
        <f t="shared" si="40"/>
        <v>1.9923872033576671E-3</v>
      </c>
      <c r="H64" s="122">
        <f t="shared" si="40"/>
        <v>2.1058679729678707E-3</v>
      </c>
      <c r="I64" s="122">
        <f t="shared" si="40"/>
        <v>2.2510013418485224E-3</v>
      </c>
      <c r="J64" s="122">
        <f t="shared" si="40"/>
        <v>2.4476972529401436E-3</v>
      </c>
      <c r="K64" s="122">
        <f t="shared" si="40"/>
        <v>2.7303571537835537E-3</v>
      </c>
      <c r="L64" s="122">
        <f t="shared" si="40"/>
        <v>3.1660635731516952E-3</v>
      </c>
      <c r="M64" s="122">
        <f t="shared" si="40"/>
        <v>3.9089053575808537E-3</v>
      </c>
      <c r="N64" s="122">
        <f t="shared" si="40"/>
        <v>5.4150890733459531E-3</v>
      </c>
      <c r="O64" s="121"/>
      <c r="P64" s="122"/>
    </row>
    <row r="65" spans="1:16" x14ac:dyDescent="0.25">
      <c r="A65" s="118">
        <f>Puntenberekening!$Q$17</f>
        <v>0</v>
      </c>
      <c r="B65" s="130">
        <v>11</v>
      </c>
      <c r="C65" s="122">
        <f>VLOOKUP(A58,'KAVVV Records &amp; age-grading'!$A$30:$C$55,3,FALSE)</f>
        <v>1.5891203703703701E-3</v>
      </c>
      <c r="D65" s="122">
        <f t="shared" ref="D65:N65" si="41">$C65/D59</f>
        <v>1.6662686068683759E-3</v>
      </c>
      <c r="E65" s="122">
        <f t="shared" si="41"/>
        <v>1.7418835584460924E-3</v>
      </c>
      <c r="F65" s="122">
        <f t="shared" si="41"/>
        <v>1.8246875305665061E-3</v>
      </c>
      <c r="G65" s="122">
        <f t="shared" si="41"/>
        <v>1.915756926305449E-3</v>
      </c>
      <c r="H65" s="122">
        <f t="shared" si="41"/>
        <v>2.0248730509306446E-3</v>
      </c>
      <c r="I65" s="122">
        <f t="shared" si="41"/>
        <v>2.1644243671620407E-3</v>
      </c>
      <c r="J65" s="122">
        <f t="shared" si="41"/>
        <v>2.3535550509039839E-3</v>
      </c>
      <c r="K65" s="122">
        <f t="shared" si="41"/>
        <v>2.6253434170995706E-3</v>
      </c>
      <c r="L65" s="122">
        <f t="shared" si="41"/>
        <v>3.0442918972612451E-3</v>
      </c>
      <c r="M65" s="122">
        <f t="shared" si="41"/>
        <v>3.7585628438277438E-3</v>
      </c>
      <c r="N65" s="122">
        <f t="shared" si="41"/>
        <v>5.2068164166788004E-3</v>
      </c>
      <c r="O65" s="121"/>
      <c r="P65" s="122"/>
    </row>
    <row r="66" spans="1:16" x14ac:dyDescent="0.25">
      <c r="B66" s="129"/>
    </row>
    <row r="67" spans="1:16" x14ac:dyDescent="0.25">
      <c r="A67" t="s">
        <v>249</v>
      </c>
      <c r="B67" s="129"/>
      <c r="C67" s="15" t="s">
        <v>243</v>
      </c>
      <c r="D67" s="15" t="s">
        <v>233</v>
      </c>
      <c r="E67" s="15" t="s">
        <v>232</v>
      </c>
      <c r="F67" s="15" t="s">
        <v>234</v>
      </c>
      <c r="G67" s="15" t="s">
        <v>235</v>
      </c>
      <c r="H67" s="15" t="s">
        <v>236</v>
      </c>
      <c r="I67" s="15" t="s">
        <v>237</v>
      </c>
      <c r="J67" s="15" t="s">
        <v>238</v>
      </c>
      <c r="K67" s="15" t="s">
        <v>239</v>
      </c>
      <c r="L67" s="15" t="s">
        <v>240</v>
      </c>
      <c r="M67" s="15" t="s">
        <v>241</v>
      </c>
      <c r="N67" s="15" t="s">
        <v>242</v>
      </c>
      <c r="O67" s="15"/>
      <c r="P67" s="15"/>
    </row>
    <row r="68" spans="1:16" ht="14.4" x14ac:dyDescent="0.3">
      <c r="C68" s="123"/>
      <c r="D68" s="124">
        <f>VLOOKUP($A67,'KAVVV Records &amp; age-grading'!$A$30:$AF$55,20,FALSE)</f>
        <v>0.95369999999999999</v>
      </c>
      <c r="E68" s="124">
        <f>VLOOKUP($A67,'KAVVV Records &amp; age-grading'!$A$30:$AF$55,21,FALSE)</f>
        <v>0.91459999999999997</v>
      </c>
      <c r="F68" s="124">
        <f>VLOOKUP($A67,'KAVVV Records &amp; age-grading'!$A$30:$AF$55,22,FALSE)</f>
        <v>0.87549999999999994</v>
      </c>
      <c r="G68" s="124">
        <f>VLOOKUP($A67,'KAVVV Records &amp; age-grading'!$A$30:$AF$55,23,FALSE)</f>
        <v>0.83640000000000003</v>
      </c>
      <c r="H68" s="124">
        <f>VLOOKUP($A67,'KAVVV Records &amp; age-grading'!$A$30:$AF$55,24,FALSE)</f>
        <v>0.79679999999999995</v>
      </c>
      <c r="I68" s="124">
        <f>VLOOKUP($A67,'KAVVV Records &amp; age-grading'!$A$30:$AF$55,25,FALSE)</f>
        <v>0.75609999999999999</v>
      </c>
      <c r="J68" s="124">
        <f>VLOOKUP($A67,'KAVVV Records &amp; age-grading'!$A$30:$AF$55,26,FALSE)</f>
        <v>0.71109999999999995</v>
      </c>
      <c r="K68" s="124">
        <f>VLOOKUP($A67,'KAVVV Records &amp; age-grading'!$A$30:$AF$55,27,FALSE)</f>
        <v>0.65880000000000005</v>
      </c>
      <c r="L68" s="124">
        <f>VLOOKUP($A67,'KAVVV Records &amp; age-grading'!$A$30:$AF$55,28,FALSE)</f>
        <v>0.59519999999999995</v>
      </c>
      <c r="M68" s="124">
        <f>VLOOKUP($A67,'KAVVV Records &amp; age-grading'!$A$30:$AF$55,29,FALSE)</f>
        <v>0.51529999999999998</v>
      </c>
      <c r="N68" s="124">
        <f>VLOOKUP($A67,'KAVVV Records &amp; age-grading'!$A$30:$AF$55,30,FALSE)</f>
        <v>0.41270000000000001</v>
      </c>
      <c r="O68" s="124"/>
      <c r="P68" s="124"/>
    </row>
    <row r="69" spans="1:16" x14ac:dyDescent="0.25">
      <c r="A69" s="118">
        <f>Puntenberekening!$Q$22</f>
        <v>0.3</v>
      </c>
      <c r="B69" s="130">
        <v>6</v>
      </c>
      <c r="C69" s="122">
        <f>C74*(1+$A69)</f>
        <v>2.7640046296296297E-3</v>
      </c>
      <c r="D69" s="122">
        <f t="shared" ref="D69:N69" si="42">$C69/D68</f>
        <v>2.8981908667606478E-3</v>
      </c>
      <c r="E69" s="122">
        <f t="shared" si="42"/>
        <v>3.0220912198006011E-3</v>
      </c>
      <c r="F69" s="122">
        <f t="shared" si="42"/>
        <v>3.1570584004907251E-3</v>
      </c>
      <c r="G69" s="122">
        <f t="shared" si="42"/>
        <v>3.3046444639282992E-3</v>
      </c>
      <c r="H69" s="122">
        <f t="shared" si="42"/>
        <v>3.4688813122861822E-3</v>
      </c>
      <c r="I69" s="122">
        <f t="shared" si="42"/>
        <v>3.6556072340029489E-3</v>
      </c>
      <c r="J69" s="122">
        <f t="shared" si="42"/>
        <v>3.8869422438892278E-3</v>
      </c>
      <c r="K69" s="122">
        <f t="shared" si="42"/>
        <v>4.1955140097596072E-3</v>
      </c>
      <c r="L69" s="122">
        <f t="shared" si="42"/>
        <v>4.6438249825766628E-3</v>
      </c>
      <c r="M69" s="122">
        <f t="shared" si="42"/>
        <v>5.3638746936340576E-3</v>
      </c>
      <c r="N69" s="122">
        <f t="shared" si="42"/>
        <v>6.6973700742176635E-3</v>
      </c>
      <c r="O69" s="121"/>
      <c r="P69" s="122"/>
    </row>
    <row r="70" spans="1:16" x14ac:dyDescent="0.25">
      <c r="A70" s="118">
        <f>Puntenberekening!$Q$21</f>
        <v>0.22</v>
      </c>
      <c r="B70" s="130">
        <v>7</v>
      </c>
      <c r="C70" s="122">
        <f>C74*(1+$A70)</f>
        <v>2.5939120370370369E-3</v>
      </c>
      <c r="D70" s="122">
        <f t="shared" ref="D70:N70" si="43">$C70/D68</f>
        <v>2.7198406595753768E-3</v>
      </c>
      <c r="E70" s="122">
        <f t="shared" si="43"/>
        <v>2.8361163755051795E-3</v>
      </c>
      <c r="F70" s="122">
        <f t="shared" si="43"/>
        <v>2.9627778835374496E-3</v>
      </c>
      <c r="G70" s="122">
        <f t="shared" si="43"/>
        <v>3.1012817276865577E-3</v>
      </c>
      <c r="H70" s="122">
        <f t="shared" si="43"/>
        <v>3.2554116930685706E-3</v>
      </c>
      <c r="I70" s="122">
        <f t="shared" si="43"/>
        <v>3.4306467888335366E-3</v>
      </c>
      <c r="J70" s="122">
        <f t="shared" si="43"/>
        <v>3.6477457981114289E-3</v>
      </c>
      <c r="K70" s="122">
        <f t="shared" si="43"/>
        <v>3.9373285322359388E-3</v>
      </c>
      <c r="L70" s="122">
        <f t="shared" si="43"/>
        <v>4.3580511374950223E-3</v>
      </c>
      <c r="M70" s="122">
        <f t="shared" si="43"/>
        <v>5.0337900971027302E-3</v>
      </c>
      <c r="N70" s="122">
        <f t="shared" si="43"/>
        <v>6.2852242234965761E-3</v>
      </c>
      <c r="O70" s="121"/>
      <c r="P70" s="122"/>
    </row>
    <row r="71" spans="1:16" x14ac:dyDescent="0.25">
      <c r="A71" s="118">
        <f>Puntenberekening!$Q$20</f>
        <v>0.15</v>
      </c>
      <c r="B71" s="130">
        <v>8</v>
      </c>
      <c r="C71" s="122">
        <f>C74*(1+$A71)</f>
        <v>2.4450810185185183E-3</v>
      </c>
      <c r="D71" s="122">
        <f t="shared" ref="D71:N71" si="44">$C71/D68</f>
        <v>2.563784228288265E-3</v>
      </c>
      <c r="E71" s="122">
        <f t="shared" si="44"/>
        <v>2.6733883867466855E-3</v>
      </c>
      <c r="F71" s="122">
        <f t="shared" si="44"/>
        <v>2.7927824312033336E-3</v>
      </c>
      <c r="G71" s="122">
        <f t="shared" si="44"/>
        <v>2.9233393334750337E-3</v>
      </c>
      <c r="H71" s="122">
        <f t="shared" si="44"/>
        <v>3.0686257762531609E-3</v>
      </c>
      <c r="I71" s="122">
        <f t="shared" si="44"/>
        <v>3.2338063993103006E-3</v>
      </c>
      <c r="J71" s="122">
        <f t="shared" si="44"/>
        <v>3.4384489080558551E-3</v>
      </c>
      <c r="K71" s="122">
        <f t="shared" si="44"/>
        <v>3.7114162394027293E-3</v>
      </c>
      <c r="L71" s="122">
        <f t="shared" si="44"/>
        <v>4.1079990230485858E-3</v>
      </c>
      <c r="M71" s="122">
        <f t="shared" si="44"/>
        <v>4.7449660751378193E-3</v>
      </c>
      <c r="N71" s="122">
        <f t="shared" si="44"/>
        <v>5.9245966041156246E-3</v>
      </c>
      <c r="O71" s="121"/>
      <c r="P71" s="122"/>
    </row>
    <row r="72" spans="1:16" x14ac:dyDescent="0.25">
      <c r="A72" s="118">
        <f>Puntenberekening!$Q$19</f>
        <v>0.09</v>
      </c>
      <c r="B72" s="130">
        <v>9</v>
      </c>
      <c r="C72" s="122">
        <f>C74*(1+$A72)</f>
        <v>2.3175115740740743E-3</v>
      </c>
      <c r="D72" s="122">
        <f t="shared" ref="D72:N72" si="45">$C72/D68</f>
        <v>2.4300215728993123E-3</v>
      </c>
      <c r="E72" s="122">
        <f t="shared" si="45"/>
        <v>2.5339072535251195E-3</v>
      </c>
      <c r="F72" s="122">
        <f t="shared" si="45"/>
        <v>2.6470720434883773E-3</v>
      </c>
      <c r="G72" s="122">
        <f t="shared" si="45"/>
        <v>2.770817281293728E-3</v>
      </c>
      <c r="H72" s="122">
        <f t="shared" si="45"/>
        <v>2.9085235618399527E-3</v>
      </c>
      <c r="I72" s="122">
        <f t="shared" si="45"/>
        <v>3.065086065433242E-3</v>
      </c>
      <c r="J72" s="122">
        <f t="shared" si="45"/>
        <v>3.2590515737225064E-3</v>
      </c>
      <c r="K72" s="122">
        <f t="shared" si="45"/>
        <v>3.5177771312599787E-3</v>
      </c>
      <c r="L72" s="122">
        <f t="shared" si="45"/>
        <v>3.8936686392373561E-3</v>
      </c>
      <c r="M72" s="122">
        <f t="shared" si="45"/>
        <v>4.4974026277393251E-3</v>
      </c>
      <c r="N72" s="122">
        <f t="shared" si="45"/>
        <v>5.6154872160748106E-3</v>
      </c>
      <c r="O72" s="121"/>
      <c r="P72" s="122"/>
    </row>
    <row r="73" spans="1:16" x14ac:dyDescent="0.25">
      <c r="A73" s="118">
        <f>Puntenberekening!$Q$18</f>
        <v>0.04</v>
      </c>
      <c r="B73" s="130">
        <v>10</v>
      </c>
      <c r="C73" s="122">
        <f>C74*(1+$A73)</f>
        <v>2.2112037037037035E-3</v>
      </c>
      <c r="D73" s="122">
        <f t="shared" ref="D73:N73" si="46">$C73/D68</f>
        <v>2.3185526934085179E-3</v>
      </c>
      <c r="E73" s="122">
        <f t="shared" si="46"/>
        <v>2.4176729758404805E-3</v>
      </c>
      <c r="F73" s="122">
        <f t="shared" si="46"/>
        <v>2.5256467203925797E-3</v>
      </c>
      <c r="G73" s="122">
        <f t="shared" si="46"/>
        <v>2.6437155711426393E-3</v>
      </c>
      <c r="H73" s="122">
        <f t="shared" si="46"/>
        <v>2.7751050498289452E-3</v>
      </c>
      <c r="I73" s="122">
        <f t="shared" si="46"/>
        <v>2.924485787202359E-3</v>
      </c>
      <c r="J73" s="122">
        <f t="shared" si="46"/>
        <v>3.1095537951113818E-3</v>
      </c>
      <c r="K73" s="122">
        <f t="shared" si="46"/>
        <v>3.3564112078076857E-3</v>
      </c>
      <c r="L73" s="122">
        <f t="shared" si="46"/>
        <v>3.71505998606133E-3</v>
      </c>
      <c r="M73" s="122">
        <f t="shared" si="46"/>
        <v>4.2910997549072457E-3</v>
      </c>
      <c r="N73" s="122">
        <f t="shared" si="46"/>
        <v>5.3578960593741298E-3</v>
      </c>
      <c r="O73" s="121"/>
      <c r="P73" s="122"/>
    </row>
    <row r="74" spans="1:16" x14ac:dyDescent="0.25">
      <c r="A74" s="118">
        <f>Puntenberekening!$Q$17</f>
        <v>0</v>
      </c>
      <c r="B74" s="130">
        <v>11</v>
      </c>
      <c r="C74" s="122">
        <f>VLOOKUP(A67,'KAVVV Records &amp; age-grading'!$A$30:$C$55,3,FALSE)</f>
        <v>2.1261574074074073E-3</v>
      </c>
      <c r="D74" s="122">
        <f t="shared" ref="D74:N74" si="47">$C74/D68</f>
        <v>2.2293775898158826E-3</v>
      </c>
      <c r="E74" s="122">
        <f t="shared" si="47"/>
        <v>2.32468555369277E-3</v>
      </c>
      <c r="F74" s="122">
        <f t="shared" si="47"/>
        <v>2.4285064619159421E-3</v>
      </c>
      <c r="G74" s="122">
        <f t="shared" si="47"/>
        <v>2.5420342030217685E-3</v>
      </c>
      <c r="H74" s="122">
        <f t="shared" si="47"/>
        <v>2.66837024022014E-3</v>
      </c>
      <c r="I74" s="122">
        <f t="shared" si="47"/>
        <v>2.8120055646176528E-3</v>
      </c>
      <c r="J74" s="122">
        <f t="shared" si="47"/>
        <v>2.9899555722224828E-3</v>
      </c>
      <c r="K74" s="122">
        <f t="shared" si="47"/>
        <v>3.2273184690458519E-3</v>
      </c>
      <c r="L74" s="122">
        <f t="shared" si="47"/>
        <v>3.5721730635205101E-3</v>
      </c>
      <c r="M74" s="122">
        <f t="shared" si="47"/>
        <v>4.126057456641582E-3</v>
      </c>
      <c r="N74" s="122">
        <f t="shared" si="47"/>
        <v>5.1518231340135865E-3</v>
      </c>
      <c r="O74" s="121"/>
      <c r="P74" s="122"/>
    </row>
    <row r="75" spans="1:16" x14ac:dyDescent="0.25">
      <c r="B75" s="129"/>
    </row>
    <row r="76" spans="1:16" x14ac:dyDescent="0.25">
      <c r="A76" t="s">
        <v>250</v>
      </c>
      <c r="B76" s="129"/>
      <c r="C76" s="15" t="s">
        <v>243</v>
      </c>
      <c r="D76" s="15" t="s">
        <v>233</v>
      </c>
      <c r="E76" s="15" t="s">
        <v>232</v>
      </c>
      <c r="F76" s="15" t="s">
        <v>234</v>
      </c>
      <c r="G76" s="15" t="s">
        <v>235</v>
      </c>
      <c r="H76" s="15" t="s">
        <v>236</v>
      </c>
      <c r="I76" s="15" t="s">
        <v>237</v>
      </c>
      <c r="J76" s="15" t="s">
        <v>238</v>
      </c>
      <c r="K76" s="15" t="s">
        <v>239</v>
      </c>
      <c r="L76" s="15" t="s">
        <v>240</v>
      </c>
      <c r="M76" s="15" t="s">
        <v>241</v>
      </c>
      <c r="N76" s="15" t="s">
        <v>242</v>
      </c>
      <c r="O76" s="15"/>
      <c r="P76" s="15"/>
    </row>
    <row r="77" spans="1:16" ht="14.4" x14ac:dyDescent="0.3">
      <c r="C77" s="123"/>
      <c r="D77" s="124">
        <f>VLOOKUP($A76,'KAVVV Records &amp; age-grading'!$A$30:$AF$55,20,FALSE)</f>
        <v>0.94569999999999999</v>
      </c>
      <c r="E77" s="124">
        <f>VLOOKUP($A76,'KAVVV Records &amp; age-grading'!$A$30:$AF$55,21,FALSE)</f>
        <v>0.9042</v>
      </c>
      <c r="F77" s="124">
        <f>VLOOKUP($A76,'KAVVV Records &amp; age-grading'!$A$30:$AF$55,22,FALSE)</f>
        <v>0.86270000000000002</v>
      </c>
      <c r="G77" s="124">
        <f>VLOOKUP($A76,'KAVVV Records &amp; age-grading'!$A$30:$AF$55,23,FALSE)</f>
        <v>0.82120000000000004</v>
      </c>
      <c r="H77" s="124">
        <f>VLOOKUP($A76,'KAVVV Records &amp; age-grading'!$A$30:$AF$55,24,FALSE)</f>
        <v>0.77590000000000003</v>
      </c>
      <c r="I77" s="124">
        <f>VLOOKUP($A76,'KAVVV Records &amp; age-grading'!$A$30:$AF$55,25,FALSE)</f>
        <v>0.72419999999999995</v>
      </c>
      <c r="J77" s="124">
        <f>VLOOKUP($A76,'KAVVV Records &amp; age-grading'!$A$30:$AF$55,26,FALSE)</f>
        <v>0.66349999999999998</v>
      </c>
      <c r="K77" s="124">
        <f>VLOOKUP($A76,'KAVVV Records &amp; age-grading'!$A$30:$AF$55,27,FALSE)</f>
        <v>0.59119999999999995</v>
      </c>
      <c r="L77" s="124">
        <f>VLOOKUP($A76,'KAVVV Records &amp; age-grading'!$A$30:$AF$55,28,FALSE)</f>
        <v>0.50470000000000004</v>
      </c>
      <c r="M77" s="124">
        <f>VLOOKUP($A76,'KAVVV Records &amp; age-grading'!$A$30:$AF$55,29,FALSE)</f>
        <v>0.40139999999999998</v>
      </c>
      <c r="N77" s="124">
        <f>VLOOKUP($A76,'KAVVV Records &amp; age-grading'!$A$30:$AF$55,30,FALSE)</f>
        <v>0.314</v>
      </c>
      <c r="O77" s="124"/>
      <c r="P77" s="124"/>
    </row>
    <row r="78" spans="1:16" x14ac:dyDescent="0.25">
      <c r="A78" s="118">
        <f>Puntenberekening!$Q$22</f>
        <v>0.3</v>
      </c>
      <c r="B78" s="130">
        <v>6</v>
      </c>
      <c r="C78" s="122">
        <f>C83*(1+$A78)</f>
        <v>4.1918981481481486E-3</v>
      </c>
      <c r="D78" s="122">
        <f t="shared" ref="D78:N78" si="48">$C78/D77</f>
        <v>4.4325876579762594E-3</v>
      </c>
      <c r="E78" s="122">
        <f t="shared" si="48"/>
        <v>4.6360298033047429E-3</v>
      </c>
      <c r="F78" s="122">
        <f t="shared" si="48"/>
        <v>4.859045030889241E-3</v>
      </c>
      <c r="G78" s="122">
        <f t="shared" si="48"/>
        <v>5.1046007649149395E-3</v>
      </c>
      <c r="H78" s="122">
        <f t="shared" si="48"/>
        <v>5.4026268180798406E-3</v>
      </c>
      <c r="I78" s="122">
        <f t="shared" si="48"/>
        <v>5.7883155870590295E-3</v>
      </c>
      <c r="J78" s="122">
        <f t="shared" si="48"/>
        <v>6.3178570431773155E-3</v>
      </c>
      <c r="K78" s="122">
        <f t="shared" si="48"/>
        <v>7.0904907783290744E-3</v>
      </c>
      <c r="L78" s="122">
        <f t="shared" si="48"/>
        <v>8.3057225047516309E-3</v>
      </c>
      <c r="M78" s="122">
        <f t="shared" si="48"/>
        <v>1.0443194190702911E-2</v>
      </c>
      <c r="N78" s="122">
        <f t="shared" si="48"/>
        <v>1.3349994102382639E-2</v>
      </c>
      <c r="O78" s="121"/>
      <c r="P78" s="122"/>
    </row>
    <row r="79" spans="1:16" x14ac:dyDescent="0.25">
      <c r="A79" s="118">
        <f>Puntenberekening!$Q$21</f>
        <v>0.22</v>
      </c>
      <c r="B79" s="130">
        <v>7</v>
      </c>
      <c r="C79" s="122">
        <f>C83*(1+$A79)</f>
        <v>3.9339351851851853E-3</v>
      </c>
      <c r="D79" s="122">
        <f t="shared" ref="D79:N79" si="49">$C79/D77</f>
        <v>4.1598130328700279E-3</v>
      </c>
      <c r="E79" s="122">
        <f t="shared" si="49"/>
        <v>4.3507356615629126E-3</v>
      </c>
      <c r="F79" s="122">
        <f t="shared" si="49"/>
        <v>4.5600268751422104E-3</v>
      </c>
      <c r="G79" s="122">
        <f t="shared" si="49"/>
        <v>4.7904714870740201E-3</v>
      </c>
      <c r="H79" s="122">
        <f t="shared" si="49"/>
        <v>5.0701574754287732E-3</v>
      </c>
      <c r="I79" s="122">
        <f t="shared" si="49"/>
        <v>5.4321115509323187E-3</v>
      </c>
      <c r="J79" s="122">
        <f t="shared" si="49"/>
        <v>5.9290658405202496E-3</v>
      </c>
      <c r="K79" s="122">
        <f t="shared" si="49"/>
        <v>6.6541528842780544E-3</v>
      </c>
      <c r="L79" s="122">
        <f t="shared" si="49"/>
        <v>7.7946011198438379E-3</v>
      </c>
      <c r="M79" s="122">
        <f t="shared" si="49"/>
        <v>9.8005360866596555E-3</v>
      </c>
      <c r="N79" s="122">
        <f t="shared" si="49"/>
        <v>1.2528456003774476E-2</v>
      </c>
      <c r="O79" s="121"/>
      <c r="P79" s="122"/>
    </row>
    <row r="80" spans="1:16" x14ac:dyDescent="0.25">
      <c r="A80" s="118">
        <f>Puntenberekening!$Q$20</f>
        <v>0.15</v>
      </c>
      <c r="B80" s="130">
        <v>8</v>
      </c>
      <c r="C80" s="122">
        <f>C83*(1+$A80)</f>
        <v>3.7082175925925928E-3</v>
      </c>
      <c r="D80" s="122">
        <f t="shared" ref="D80:N80" si="50">$C80/D77</f>
        <v>3.9211352359020757E-3</v>
      </c>
      <c r="E80" s="122">
        <f t="shared" si="50"/>
        <v>4.1011032875388105E-3</v>
      </c>
      <c r="F80" s="122">
        <f t="shared" si="50"/>
        <v>4.2983859888635597E-3</v>
      </c>
      <c r="G80" s="122">
        <f t="shared" si="50"/>
        <v>4.5156083689632158E-3</v>
      </c>
      <c r="H80" s="122">
        <f t="shared" si="50"/>
        <v>4.7792468006090895E-3</v>
      </c>
      <c r="I80" s="122">
        <f t="shared" si="50"/>
        <v>5.1204330193214487E-3</v>
      </c>
      <c r="J80" s="122">
        <f t="shared" si="50"/>
        <v>5.5888735381953176E-3</v>
      </c>
      <c r="K80" s="122">
        <f t="shared" si="50"/>
        <v>6.2723572269834122E-3</v>
      </c>
      <c r="L80" s="122">
        <f t="shared" si="50"/>
        <v>7.3473699080495196E-3</v>
      </c>
      <c r="M80" s="122">
        <f t="shared" si="50"/>
        <v>9.2382102456218061E-3</v>
      </c>
      <c r="N80" s="122">
        <f t="shared" si="50"/>
        <v>1.1809610167492334E-2</v>
      </c>
      <c r="O80" s="121"/>
      <c r="P80" s="122"/>
    </row>
    <row r="81" spans="1:16" x14ac:dyDescent="0.25">
      <c r="A81" s="118">
        <f>Puntenberekening!$Q$19</f>
        <v>0.09</v>
      </c>
      <c r="B81" s="130">
        <v>9</v>
      </c>
      <c r="C81" s="122">
        <f>C83*(1+$A81)</f>
        <v>3.5147453703703712E-3</v>
      </c>
      <c r="D81" s="122">
        <f t="shared" ref="D81:N81" si="51">$C81/D77</f>
        <v>3.7165542670724028E-3</v>
      </c>
      <c r="E81" s="122">
        <f t="shared" si="51"/>
        <v>3.8871326812324387E-3</v>
      </c>
      <c r="F81" s="122">
        <f t="shared" si="51"/>
        <v>4.0741223720532878E-3</v>
      </c>
      <c r="G81" s="122">
        <f t="shared" si="51"/>
        <v>4.2800114105825265E-3</v>
      </c>
      <c r="H81" s="122">
        <f t="shared" si="51"/>
        <v>4.5298947936207902E-3</v>
      </c>
      <c r="I81" s="122">
        <f t="shared" si="51"/>
        <v>4.8532799922264176E-3</v>
      </c>
      <c r="J81" s="122">
        <f t="shared" si="51"/>
        <v>5.2972801362025186E-3</v>
      </c>
      <c r="K81" s="122">
        <f t="shared" si="51"/>
        <v>5.9451038064451478E-3</v>
      </c>
      <c r="L81" s="122">
        <f t="shared" si="51"/>
        <v>6.9640288693686766E-3</v>
      </c>
      <c r="M81" s="122">
        <f t="shared" si="51"/>
        <v>8.7562166675893664E-3</v>
      </c>
      <c r="N81" s="122">
        <f t="shared" si="51"/>
        <v>1.1193456593536214E-2</v>
      </c>
      <c r="O81" s="121"/>
      <c r="P81" s="122"/>
    </row>
    <row r="82" spans="1:16" x14ac:dyDescent="0.25">
      <c r="A82" s="118">
        <f>Puntenberekening!$Q$18</f>
        <v>0.04</v>
      </c>
      <c r="B82" s="130">
        <v>10</v>
      </c>
      <c r="C82" s="122">
        <f>C83*(1+$A82)</f>
        <v>3.3535185185185191E-3</v>
      </c>
      <c r="D82" s="122">
        <f t="shared" ref="D82:N82" si="52">$C82/D77</f>
        <v>3.5460701263810078E-3</v>
      </c>
      <c r="E82" s="122">
        <f t="shared" si="52"/>
        <v>3.7088238426437946E-3</v>
      </c>
      <c r="F82" s="122">
        <f t="shared" si="52"/>
        <v>3.8872360247113932E-3</v>
      </c>
      <c r="G82" s="122">
        <f t="shared" si="52"/>
        <v>4.0836806119319523E-3</v>
      </c>
      <c r="H82" s="122">
        <f t="shared" si="52"/>
        <v>4.3221014544638729E-3</v>
      </c>
      <c r="I82" s="122">
        <f t="shared" si="52"/>
        <v>4.6306524696472237E-3</v>
      </c>
      <c r="J82" s="122">
        <f t="shared" si="52"/>
        <v>5.0542856345418526E-3</v>
      </c>
      <c r="K82" s="122">
        <f t="shared" si="52"/>
        <v>5.6723926226632604E-3</v>
      </c>
      <c r="L82" s="122">
        <f t="shared" si="52"/>
        <v>6.6445780038013056E-3</v>
      </c>
      <c r="M82" s="122">
        <f t="shared" si="52"/>
        <v>8.3545553525623296E-3</v>
      </c>
      <c r="N82" s="122">
        <f t="shared" si="52"/>
        <v>1.0679995281906112E-2</v>
      </c>
      <c r="O82" s="121"/>
      <c r="P82" s="122"/>
    </row>
    <row r="83" spans="1:16" x14ac:dyDescent="0.25">
      <c r="A83" s="118">
        <f>Puntenberekening!$Q$17</f>
        <v>0</v>
      </c>
      <c r="B83" s="130">
        <v>11</v>
      </c>
      <c r="C83" s="122">
        <f>VLOOKUP(A76,'KAVVV Records &amp; age-grading'!$A$30:$C$55,3,FALSE)</f>
        <v>3.2245370370370375E-3</v>
      </c>
      <c r="D83" s="122">
        <f t="shared" ref="D83:N83" si="53">$C83/D77</f>
        <v>3.409682813827892E-3</v>
      </c>
      <c r="E83" s="122">
        <f t="shared" si="53"/>
        <v>3.5661767717728794E-3</v>
      </c>
      <c r="F83" s="122">
        <f t="shared" si="53"/>
        <v>3.7377269468378779E-3</v>
      </c>
      <c r="G83" s="122">
        <f t="shared" si="53"/>
        <v>3.9266159730114922E-3</v>
      </c>
      <c r="H83" s="122">
        <f t="shared" si="53"/>
        <v>4.1558667831383391E-3</v>
      </c>
      <c r="I83" s="122">
        <f t="shared" si="53"/>
        <v>4.4525504515838688E-3</v>
      </c>
      <c r="J83" s="122">
        <f t="shared" si="53"/>
        <v>4.8598900332133196E-3</v>
      </c>
      <c r="K83" s="122">
        <f t="shared" si="53"/>
        <v>5.45422367563775E-3</v>
      </c>
      <c r="L83" s="122">
        <f t="shared" si="53"/>
        <v>6.3890173113474091E-3</v>
      </c>
      <c r="M83" s="122">
        <f t="shared" si="53"/>
        <v>8.0332263005407009E-3</v>
      </c>
      <c r="N83" s="122">
        <f t="shared" si="53"/>
        <v>1.0269226232602031E-2</v>
      </c>
      <c r="O83" s="121"/>
      <c r="P83" s="122"/>
    </row>
    <row r="84" spans="1:16" x14ac:dyDescent="0.25">
      <c r="B84" s="129"/>
    </row>
    <row r="85" spans="1:16" x14ac:dyDescent="0.25">
      <c r="A85" t="s">
        <v>251</v>
      </c>
      <c r="B85" s="129"/>
      <c r="C85" s="15" t="s">
        <v>243</v>
      </c>
      <c r="D85" s="15" t="s">
        <v>233</v>
      </c>
      <c r="E85" s="15" t="s">
        <v>232</v>
      </c>
      <c r="F85" s="15" t="s">
        <v>234</v>
      </c>
      <c r="G85" s="15" t="s">
        <v>235</v>
      </c>
      <c r="H85" s="15" t="s">
        <v>236</v>
      </c>
      <c r="I85" s="15" t="s">
        <v>237</v>
      </c>
      <c r="J85" s="15" t="s">
        <v>238</v>
      </c>
      <c r="K85" s="15" t="s">
        <v>239</v>
      </c>
      <c r="L85" s="15" t="s">
        <v>240</v>
      </c>
      <c r="M85" s="15" t="s">
        <v>241</v>
      </c>
      <c r="N85" s="15" t="s">
        <v>242</v>
      </c>
      <c r="O85" s="15"/>
      <c r="P85" s="15"/>
    </row>
    <row r="86" spans="1:16" ht="14.4" x14ac:dyDescent="0.3">
      <c r="C86" s="123"/>
      <c r="D86" s="124">
        <f>VLOOKUP($A85,'KAVVV Records &amp; age-grading'!$A$30:$AF$55,20,FALSE)</f>
        <v>0.95145000000000002</v>
      </c>
      <c r="E86" s="124">
        <f>VLOOKUP($A85,'KAVVV Records &amp; age-grading'!$A$30:$AF$55,21,FALSE)</f>
        <v>0.9093</v>
      </c>
      <c r="F86" s="124">
        <f>VLOOKUP($A85,'KAVVV Records &amp; age-grading'!$A$30:$AF$55,22,FALSE)</f>
        <v>0.86715000000000009</v>
      </c>
      <c r="G86" s="124">
        <f>VLOOKUP($A85,'KAVVV Records &amp; age-grading'!$A$30:$AF$55,23,FALSE)</f>
        <v>0.82440000000000002</v>
      </c>
      <c r="H86" s="124">
        <f>VLOOKUP($A85,'KAVVV Records &amp; age-grading'!$A$30:$AF$55,24,FALSE)</f>
        <v>0.77810000000000001</v>
      </c>
      <c r="I86" s="124">
        <f>VLOOKUP($A85,'KAVVV Records &amp; age-grading'!$A$30:$AF$55,25,FALSE)</f>
        <v>0.72589999999999999</v>
      </c>
      <c r="J86" s="124">
        <f>VLOOKUP($A85,'KAVVV Records &amp; age-grading'!$A$30:$AF$55,26,FALSE)</f>
        <v>0.66520000000000001</v>
      </c>
      <c r="K86" s="124">
        <f>VLOOKUP($A85,'KAVVV Records &amp; age-grading'!$A$30:$AF$55,27,FALSE)</f>
        <v>0.59319999999999995</v>
      </c>
      <c r="L86" s="124">
        <f>VLOOKUP($A85,'KAVVV Records &amp; age-grading'!$A$30:$AF$55,28,FALSE)</f>
        <v>0.50685000000000002</v>
      </c>
      <c r="M86" s="124">
        <f>VLOOKUP($A85,'KAVVV Records &amp; age-grading'!$A$30:$AF$55,29,FALSE)</f>
        <v>0.40305000000000002</v>
      </c>
      <c r="N86" s="124">
        <f>VLOOKUP($A85,'KAVVV Records &amp; age-grading'!$A$30:$AF$55,30,FALSE)</f>
        <v>0.33230000000000004</v>
      </c>
      <c r="O86" s="124"/>
      <c r="P86" s="124"/>
    </row>
    <row r="87" spans="1:16" x14ac:dyDescent="0.25">
      <c r="A87" s="118">
        <f>Puntenberekening!$Q$22</f>
        <v>0.3</v>
      </c>
      <c r="B87" s="130">
        <v>6</v>
      </c>
      <c r="C87" s="122">
        <f>C92*(1+$A87)</f>
        <v>4.6207175925925929E-3</v>
      </c>
      <c r="D87" s="122">
        <f t="shared" ref="D87:N87" si="54">$C87/D86</f>
        <v>4.8565007016580933E-3</v>
      </c>
      <c r="E87" s="122">
        <f t="shared" si="54"/>
        <v>5.0816205791186552E-3</v>
      </c>
      <c r="F87" s="122">
        <f t="shared" si="54"/>
        <v>5.3286254887765583E-3</v>
      </c>
      <c r="G87" s="122">
        <f t="shared" si="54"/>
        <v>5.6049461336639891E-3</v>
      </c>
      <c r="H87" s="122">
        <f t="shared" si="54"/>
        <v>5.938462398910928E-3</v>
      </c>
      <c r="I87" s="122">
        <f t="shared" si="54"/>
        <v>6.3655015740358076E-3</v>
      </c>
      <c r="J87" s="122">
        <f t="shared" si="54"/>
        <v>6.9463583773189909E-3</v>
      </c>
      <c r="K87" s="122">
        <f t="shared" si="54"/>
        <v>7.7894767238580465E-3</v>
      </c>
      <c r="L87" s="122">
        <f t="shared" si="54"/>
        <v>9.116538606279161E-3</v>
      </c>
      <c r="M87" s="122">
        <f t="shared" si="54"/>
        <v>1.1464378098480568E-2</v>
      </c>
      <c r="N87" s="122">
        <f t="shared" si="54"/>
        <v>1.3905259080928656E-2</v>
      </c>
      <c r="O87" s="121"/>
      <c r="P87" s="122"/>
    </row>
    <row r="88" spans="1:16" x14ac:dyDescent="0.25">
      <c r="A88" s="118">
        <f>Puntenberekening!$Q$21</f>
        <v>0.22</v>
      </c>
      <c r="B88" s="130">
        <v>7</v>
      </c>
      <c r="C88" s="122">
        <f>C92*(1+$A88)</f>
        <v>4.3363657407407405E-3</v>
      </c>
      <c r="D88" s="122">
        <f t="shared" ref="D88:N88" si="55">$C88/D86</f>
        <v>4.5576391200175944E-3</v>
      </c>
      <c r="E88" s="122">
        <f t="shared" si="55"/>
        <v>4.7689054665575065E-3</v>
      </c>
      <c r="F88" s="122">
        <f t="shared" si="55"/>
        <v>5.0007100740826153E-3</v>
      </c>
      <c r="G88" s="122">
        <f t="shared" si="55"/>
        <v>5.2600263715923586E-3</v>
      </c>
      <c r="H88" s="122">
        <f t="shared" si="55"/>
        <v>5.5730185589779472E-3</v>
      </c>
      <c r="I88" s="122">
        <f t="shared" si="55"/>
        <v>5.9737784002489884E-3</v>
      </c>
      <c r="J88" s="122">
        <f t="shared" si="55"/>
        <v>6.5188901694839749E-3</v>
      </c>
      <c r="K88" s="122">
        <f t="shared" si="55"/>
        <v>7.310124310082166E-3</v>
      </c>
      <c r="L88" s="122">
        <f t="shared" si="55"/>
        <v>8.5555208458927504E-3</v>
      </c>
      <c r="M88" s="122">
        <f t="shared" si="55"/>
        <v>1.0758877907804838E-2</v>
      </c>
      <c r="N88" s="122">
        <f t="shared" si="55"/>
        <v>1.3049550829794584E-2</v>
      </c>
      <c r="O88" s="121"/>
      <c r="P88" s="122"/>
    </row>
    <row r="89" spans="1:16" x14ac:dyDescent="0.25">
      <c r="A89" s="118">
        <f>Puntenberekening!$Q$20</f>
        <v>0.15</v>
      </c>
      <c r="B89" s="130">
        <v>8</v>
      </c>
      <c r="C89" s="122">
        <f>C92*(1+$A89)</f>
        <v>4.0875578703703699E-3</v>
      </c>
      <c r="D89" s="122">
        <f t="shared" ref="D89:N89" si="56">$C89/D86</f>
        <v>4.2961352360821586E-3</v>
      </c>
      <c r="E89" s="122">
        <f t="shared" si="56"/>
        <v>4.4952797430665012E-3</v>
      </c>
      <c r="F89" s="122">
        <f t="shared" si="56"/>
        <v>4.7137840862254161E-3</v>
      </c>
      <c r="G89" s="122">
        <f t="shared" si="56"/>
        <v>4.9582215797796822E-3</v>
      </c>
      <c r="H89" s="122">
        <f t="shared" si="56"/>
        <v>5.2532551990365885E-3</v>
      </c>
      <c r="I89" s="122">
        <f t="shared" si="56"/>
        <v>5.631020623185521E-3</v>
      </c>
      <c r="J89" s="122">
        <f t="shared" si="56"/>
        <v>6.1448554876283373E-3</v>
      </c>
      <c r="K89" s="122">
        <f t="shared" si="56"/>
        <v>6.890690948028271E-3</v>
      </c>
      <c r="L89" s="122">
        <f t="shared" si="56"/>
        <v>8.0646303055546403E-3</v>
      </c>
      <c r="M89" s="122">
        <f t="shared" si="56"/>
        <v>1.0141565240963577E-2</v>
      </c>
      <c r="N89" s="122">
        <f t="shared" si="56"/>
        <v>1.230080611005227E-2</v>
      </c>
      <c r="O89" s="121"/>
      <c r="P89" s="122"/>
    </row>
    <row r="90" spans="1:16" x14ac:dyDescent="0.25">
      <c r="A90" s="118">
        <f>Puntenberekening!$Q$19</f>
        <v>0.09</v>
      </c>
      <c r="B90" s="130">
        <v>9</v>
      </c>
      <c r="C90" s="122">
        <f>C92*(1+$A90)</f>
        <v>3.8742939814814816E-3</v>
      </c>
      <c r="D90" s="122">
        <f t="shared" ref="D90:N90" si="57">$C90/D86</f>
        <v>4.0719890498517857E-3</v>
      </c>
      <c r="E90" s="122">
        <f t="shared" si="57"/>
        <v>4.2607434086456416E-3</v>
      </c>
      <c r="F90" s="122">
        <f t="shared" si="57"/>
        <v>4.4678475252049599E-3</v>
      </c>
      <c r="G90" s="122">
        <f t="shared" si="57"/>
        <v>4.6995317582259602E-3</v>
      </c>
      <c r="H90" s="122">
        <f t="shared" si="57"/>
        <v>4.9791723190868546E-3</v>
      </c>
      <c r="I90" s="122">
        <f t="shared" si="57"/>
        <v>5.3372282428454081E-3</v>
      </c>
      <c r="J90" s="122">
        <f t="shared" si="57"/>
        <v>5.8242543317520773E-3</v>
      </c>
      <c r="K90" s="122">
        <f t="shared" si="57"/>
        <v>6.5311766376963624E-3</v>
      </c>
      <c r="L90" s="122">
        <f t="shared" si="57"/>
        <v>7.643866985264835E-3</v>
      </c>
      <c r="M90" s="122">
        <f t="shared" si="57"/>
        <v>9.6124400979567832E-3</v>
      </c>
      <c r="N90" s="122">
        <f t="shared" si="57"/>
        <v>1.1659024921701719E-2</v>
      </c>
      <c r="O90" s="121"/>
      <c r="P90" s="122"/>
    </row>
    <row r="91" spans="1:16" x14ac:dyDescent="0.25">
      <c r="A91" s="118">
        <f>Puntenberekening!$Q$18</f>
        <v>0.04</v>
      </c>
      <c r="B91" s="130">
        <v>10</v>
      </c>
      <c r="C91" s="122">
        <f>C92*(1+$A91)</f>
        <v>3.6965740740740743E-3</v>
      </c>
      <c r="D91" s="122">
        <f t="shared" ref="D91:N91" si="58">$C91/D86</f>
        <v>3.8852005613264746E-3</v>
      </c>
      <c r="E91" s="122">
        <f t="shared" si="58"/>
        <v>4.0652964632949236E-3</v>
      </c>
      <c r="F91" s="122">
        <f t="shared" si="58"/>
        <v>4.2629003910212467E-3</v>
      </c>
      <c r="G91" s="122">
        <f t="shared" si="58"/>
        <v>4.4839569069311915E-3</v>
      </c>
      <c r="H91" s="122">
        <f t="shared" si="58"/>
        <v>4.750769919128742E-3</v>
      </c>
      <c r="I91" s="122">
        <f t="shared" si="58"/>
        <v>5.0924012592286462E-3</v>
      </c>
      <c r="J91" s="122">
        <f t="shared" si="58"/>
        <v>5.557086701855193E-3</v>
      </c>
      <c r="K91" s="122">
        <f t="shared" si="58"/>
        <v>6.2315813790864375E-3</v>
      </c>
      <c r="L91" s="122">
        <f t="shared" si="58"/>
        <v>7.2932308850233284E-3</v>
      </c>
      <c r="M91" s="122">
        <f t="shared" si="58"/>
        <v>9.1715024787844546E-3</v>
      </c>
      <c r="N91" s="122">
        <f t="shared" si="58"/>
        <v>1.1124207264742924E-2</v>
      </c>
      <c r="O91" s="121"/>
      <c r="P91" s="122"/>
    </row>
    <row r="92" spans="1:16" x14ac:dyDescent="0.25">
      <c r="A92" s="118">
        <f>Puntenberekening!$Q$17</f>
        <v>0</v>
      </c>
      <c r="B92" s="130">
        <v>11</v>
      </c>
      <c r="C92" s="122">
        <f>VLOOKUP(A85,'KAVVV Records &amp; age-grading'!$A$30:$C$55,3,FALSE)</f>
        <v>3.5543981481481481E-3</v>
      </c>
      <c r="D92" s="122">
        <f t="shared" ref="D92:N92" si="59">$C92/D86</f>
        <v>3.7357697705062251E-3</v>
      </c>
      <c r="E92" s="122">
        <f t="shared" si="59"/>
        <v>3.9089389070143497E-3</v>
      </c>
      <c r="F92" s="122">
        <f t="shared" si="59"/>
        <v>4.0989426836742756E-3</v>
      </c>
      <c r="G92" s="122">
        <f t="shared" si="59"/>
        <v>4.3114970258953762E-3</v>
      </c>
      <c r="H92" s="122">
        <f t="shared" si="59"/>
        <v>4.5680479991622516E-3</v>
      </c>
      <c r="I92" s="122">
        <f t="shared" si="59"/>
        <v>4.8965396723352362E-3</v>
      </c>
      <c r="J92" s="122">
        <f t="shared" si="59"/>
        <v>5.3433525979376846E-3</v>
      </c>
      <c r="K92" s="122">
        <f t="shared" si="59"/>
        <v>5.9919051721984973E-3</v>
      </c>
      <c r="L92" s="122">
        <f t="shared" si="59"/>
        <v>7.0127220048301232E-3</v>
      </c>
      <c r="M92" s="122">
        <f t="shared" si="59"/>
        <v>8.8187523834465896E-3</v>
      </c>
      <c r="N92" s="122">
        <f t="shared" si="59"/>
        <v>1.0696353139175888E-2</v>
      </c>
      <c r="O92" s="121"/>
      <c r="P92" s="122"/>
    </row>
    <row r="93" spans="1:16" x14ac:dyDescent="0.25">
      <c r="B93" s="129"/>
    </row>
    <row r="94" spans="1:16" x14ac:dyDescent="0.25">
      <c r="A94" t="s">
        <v>252</v>
      </c>
      <c r="B94" s="129"/>
      <c r="C94" s="15" t="s">
        <v>243</v>
      </c>
      <c r="D94" s="15" t="s">
        <v>233</v>
      </c>
      <c r="E94" s="15" t="s">
        <v>232</v>
      </c>
      <c r="F94" s="15" t="s">
        <v>234</v>
      </c>
      <c r="G94" s="15" t="s">
        <v>235</v>
      </c>
      <c r="H94" s="15" t="s">
        <v>236</v>
      </c>
      <c r="I94" s="15" t="s">
        <v>237</v>
      </c>
      <c r="J94" s="15" t="s">
        <v>238</v>
      </c>
      <c r="K94" s="15" t="s">
        <v>239</v>
      </c>
      <c r="L94" s="15" t="s">
        <v>240</v>
      </c>
      <c r="M94" s="15" t="s">
        <v>241</v>
      </c>
      <c r="N94" s="15" t="s">
        <v>242</v>
      </c>
      <c r="O94" s="15"/>
      <c r="P94" s="15"/>
    </row>
    <row r="95" spans="1:16" ht="14.4" x14ac:dyDescent="0.3">
      <c r="C95" s="123"/>
      <c r="D95" s="124">
        <f>VLOOKUP($A94,'KAVVV Records &amp; age-grading'!$A$30:$AF$55,20,FALSE)</f>
        <v>0.95432500000000009</v>
      </c>
      <c r="E95" s="124">
        <f>VLOOKUP($A94,'KAVVV Records &amp; age-grading'!$A$30:$AF$55,21,FALSE)</f>
        <v>0.91185000000000005</v>
      </c>
      <c r="F95" s="124">
        <f>VLOOKUP($A94,'KAVVV Records &amp; age-grading'!$A$30:$AF$55,22,FALSE)</f>
        <v>0.86937500000000001</v>
      </c>
      <c r="G95" s="124">
        <f>VLOOKUP($A94,'KAVVV Records &amp; age-grading'!$A$30:$AF$55,23,FALSE)</f>
        <v>0.82600000000000007</v>
      </c>
      <c r="H95" s="124">
        <f>VLOOKUP($A94,'KAVVV Records &amp; age-grading'!$A$30:$AF$55,24,FALSE)</f>
        <v>0.7792</v>
      </c>
      <c r="I95" s="124">
        <f>VLOOKUP($A94,'KAVVV Records &amp; age-grading'!$A$30:$AF$55,25,FALSE)</f>
        <v>0.72675000000000001</v>
      </c>
      <c r="J95" s="124">
        <f>VLOOKUP($A94,'KAVVV Records &amp; age-grading'!$A$30:$AF$55,26,FALSE)</f>
        <v>0.66605000000000003</v>
      </c>
      <c r="K95" s="124">
        <f>VLOOKUP($A94,'KAVVV Records &amp; age-grading'!$A$30:$AF$55,27,FALSE)</f>
        <v>0.59419999999999995</v>
      </c>
      <c r="L95" s="124">
        <f>VLOOKUP($A94,'KAVVV Records &amp; age-grading'!$A$30:$AF$55,28,FALSE)</f>
        <v>0.50792499999999996</v>
      </c>
      <c r="M95" s="124">
        <f>VLOOKUP($A94,'KAVVV Records &amp; age-grading'!$A$30:$AF$55,29,FALSE)</f>
        <v>0.40387499999999998</v>
      </c>
      <c r="N95" s="124">
        <f>VLOOKUP($A94,'KAVVV Records &amp; age-grading'!$A$30:$AF$55,30,FALSE)</f>
        <v>0.34145000000000003</v>
      </c>
      <c r="O95" s="124"/>
      <c r="P95" s="124"/>
    </row>
    <row r="96" spans="1:16" x14ac:dyDescent="0.25">
      <c r="A96" s="118">
        <f>Puntenberekening!$Q$22</f>
        <v>0.3</v>
      </c>
      <c r="B96" s="130">
        <v>6</v>
      </c>
      <c r="C96" s="122">
        <f>C101*(1+$A96)</f>
        <v>6.164467592592592E-3</v>
      </c>
      <c r="D96" s="122">
        <f t="shared" ref="D96:N96" si="60">$C96/D95</f>
        <v>6.4595055066068597E-3</v>
      </c>
      <c r="E96" s="122">
        <f t="shared" si="60"/>
        <v>6.7603965483276768E-3</v>
      </c>
      <c r="F96" s="122">
        <f t="shared" si="60"/>
        <v>7.0906888196607815E-3</v>
      </c>
      <c r="G96" s="122">
        <f t="shared" si="60"/>
        <v>7.4630358263832828E-3</v>
      </c>
      <c r="H96" s="122">
        <f t="shared" si="60"/>
        <v>7.9112777112327927E-3</v>
      </c>
      <c r="I96" s="122">
        <f t="shared" si="60"/>
        <v>8.4822395494910108E-3</v>
      </c>
      <c r="J96" s="122">
        <f t="shared" si="60"/>
        <v>9.2552625067075928E-3</v>
      </c>
      <c r="K96" s="122">
        <f t="shared" si="60"/>
        <v>1.037439850655098E-2</v>
      </c>
      <c r="L96" s="122">
        <f t="shared" si="60"/>
        <v>1.213657054209301E-2</v>
      </c>
      <c r="M96" s="122">
        <f t="shared" si="60"/>
        <v>1.5263305707440649E-2</v>
      </c>
      <c r="N96" s="122">
        <f t="shared" si="60"/>
        <v>1.8053792920171598E-2</v>
      </c>
      <c r="O96" s="121"/>
      <c r="P96" s="122"/>
    </row>
    <row r="97" spans="1:16" x14ac:dyDescent="0.25">
      <c r="A97" s="118">
        <f>Puntenberekening!$Q$21</f>
        <v>0.22</v>
      </c>
      <c r="B97" s="130">
        <v>7</v>
      </c>
      <c r="C97" s="122">
        <f>C101*(1+$A97)</f>
        <v>5.78511574074074E-3</v>
      </c>
      <c r="D97" s="122">
        <f t="shared" ref="D97:N97" si="61">$C97/D95</f>
        <v>6.0619974754310526E-3</v>
      </c>
      <c r="E97" s="122">
        <f t="shared" si="61"/>
        <v>6.3443721453536649E-3</v>
      </c>
      <c r="F97" s="122">
        <f t="shared" si="61"/>
        <v>6.6543387384508873E-3</v>
      </c>
      <c r="G97" s="122">
        <f t="shared" si="61"/>
        <v>7.0037720832212338E-3</v>
      </c>
      <c r="H97" s="122">
        <f t="shared" si="61"/>
        <v>7.4244298520800053E-3</v>
      </c>
      <c r="I97" s="122">
        <f t="shared" si="61"/>
        <v>7.9602555772146401E-3</v>
      </c>
      <c r="J97" s="122">
        <f t="shared" si="61"/>
        <v>8.6857078909102024E-3</v>
      </c>
      <c r="K97" s="122">
        <f t="shared" si="61"/>
        <v>9.73597398307092E-3</v>
      </c>
      <c r="L97" s="122">
        <f t="shared" si="61"/>
        <v>1.1389704662579594E-2</v>
      </c>
      <c r="M97" s="122">
        <f t="shared" si="61"/>
        <v>1.4324025356213532E-2</v>
      </c>
      <c r="N97" s="122">
        <f t="shared" si="61"/>
        <v>1.6942790278930267E-2</v>
      </c>
      <c r="O97" s="121"/>
      <c r="P97" s="122"/>
    </row>
    <row r="98" spans="1:16" x14ac:dyDescent="0.25">
      <c r="A98" s="118">
        <f>Puntenberekening!$Q$20</f>
        <v>0.15</v>
      </c>
      <c r="B98" s="130">
        <v>8</v>
      </c>
      <c r="C98" s="122">
        <f>C101*(1+$A98)</f>
        <v>5.4531828703703695E-3</v>
      </c>
      <c r="D98" s="122">
        <f t="shared" ref="D98:N98" si="62">$C98/D95</f>
        <v>5.7141779481522216E-3</v>
      </c>
      <c r="E98" s="122">
        <f t="shared" si="62"/>
        <v>5.9803507927514059E-3</v>
      </c>
      <c r="F98" s="122">
        <f t="shared" si="62"/>
        <v>6.2725324173922292E-3</v>
      </c>
      <c r="G98" s="122">
        <f t="shared" si="62"/>
        <v>6.6019163079544417E-3</v>
      </c>
      <c r="H98" s="122">
        <f t="shared" si="62"/>
        <v>6.9984379753213165E-3</v>
      </c>
      <c r="I98" s="122">
        <f t="shared" si="62"/>
        <v>7.503519601472817E-3</v>
      </c>
      <c r="J98" s="122">
        <f t="shared" si="62"/>
        <v>8.1873476020874851E-3</v>
      </c>
      <c r="K98" s="122">
        <f t="shared" si="62"/>
        <v>9.1773525250258663E-3</v>
      </c>
      <c r="L98" s="122">
        <f t="shared" si="62"/>
        <v>1.0736197018005355E-2</v>
      </c>
      <c r="M98" s="122">
        <f t="shared" si="62"/>
        <v>1.3502155048889804E-2</v>
      </c>
      <c r="N98" s="122">
        <f t="shared" si="62"/>
        <v>1.5970662967844104E-2</v>
      </c>
      <c r="O98" s="121"/>
      <c r="P98" s="122"/>
    </row>
    <row r="99" spans="1:16" x14ac:dyDescent="0.25">
      <c r="A99" s="118">
        <f>Puntenberekening!$Q$19</f>
        <v>0.09</v>
      </c>
      <c r="B99" s="130">
        <v>9</v>
      </c>
      <c r="C99" s="122">
        <f>C101*(1+$A99)</f>
        <v>5.1686689814814816E-3</v>
      </c>
      <c r="D99" s="122">
        <f t="shared" ref="D99:N99" si="63">$C99/D95</f>
        <v>5.4160469247703678E-3</v>
      </c>
      <c r="E99" s="122">
        <f t="shared" si="63"/>
        <v>5.6683324905208981E-3</v>
      </c>
      <c r="F99" s="122">
        <f t="shared" si="63"/>
        <v>5.9452698564848097E-3</v>
      </c>
      <c r="G99" s="122">
        <f t="shared" si="63"/>
        <v>6.2574685005829071E-3</v>
      </c>
      <c r="H99" s="122">
        <f t="shared" si="63"/>
        <v>6.6333020809567272E-3</v>
      </c>
      <c r="I99" s="122">
        <f t="shared" si="63"/>
        <v>7.1120316222655407E-3</v>
      </c>
      <c r="J99" s="122">
        <f t="shared" si="63"/>
        <v>7.7601816402394436E-3</v>
      </c>
      <c r="K99" s="122">
        <f t="shared" si="63"/>
        <v>8.6985341324158222E-3</v>
      </c>
      <c r="L99" s="122">
        <f t="shared" si="63"/>
        <v>1.0176047608370294E-2</v>
      </c>
      <c r="M99" s="122">
        <f t="shared" si="63"/>
        <v>1.2797694785469469E-2</v>
      </c>
      <c r="N99" s="122">
        <f t="shared" si="63"/>
        <v>1.5137410986913109E-2</v>
      </c>
      <c r="O99" s="121"/>
      <c r="P99" s="122"/>
    </row>
    <row r="100" spans="1:16" x14ac:dyDescent="0.25">
      <c r="A100" s="118">
        <f>Puntenberekening!$Q$18</f>
        <v>0.04</v>
      </c>
      <c r="B100" s="130">
        <v>10</v>
      </c>
      <c r="C100" s="122">
        <f>C101*(1+$A100)</f>
        <v>4.9315740740740743E-3</v>
      </c>
      <c r="D100" s="122">
        <f t="shared" ref="D100:N100" si="64">$C100/D95</f>
        <v>5.1676044052854885E-3</v>
      </c>
      <c r="E100" s="122">
        <f t="shared" si="64"/>
        <v>5.4083172386621423E-3</v>
      </c>
      <c r="F100" s="122">
        <f t="shared" si="64"/>
        <v>5.6725510557286262E-3</v>
      </c>
      <c r="G100" s="122">
        <f t="shared" si="64"/>
        <v>5.9704286611066268E-3</v>
      </c>
      <c r="H100" s="122">
        <f t="shared" si="64"/>
        <v>6.3290221689862348E-3</v>
      </c>
      <c r="I100" s="122">
        <f t="shared" si="64"/>
        <v>6.7857916395928095E-3</v>
      </c>
      <c r="J100" s="122">
        <f t="shared" si="64"/>
        <v>7.4042100053660744E-3</v>
      </c>
      <c r="K100" s="122">
        <f t="shared" si="64"/>
        <v>8.299518805240786E-3</v>
      </c>
      <c r="L100" s="122">
        <f t="shared" si="64"/>
        <v>9.7092564336744101E-3</v>
      </c>
      <c r="M100" s="122">
        <f t="shared" si="64"/>
        <v>1.2210644565952521E-2</v>
      </c>
      <c r="N100" s="122">
        <f t="shared" si="64"/>
        <v>1.4443034336137278E-2</v>
      </c>
      <c r="O100" s="121"/>
      <c r="P100" s="122"/>
    </row>
    <row r="101" spans="1:16" x14ac:dyDescent="0.25">
      <c r="A101" s="118">
        <f>Puntenberekening!$Q$17</f>
        <v>0</v>
      </c>
      <c r="B101" s="130">
        <v>11</v>
      </c>
      <c r="C101" s="122">
        <f>VLOOKUP(A94,'KAVVV Records &amp; age-grading'!$A$30:$C$55,3,FALSE)</f>
        <v>4.7418981481481479E-3</v>
      </c>
      <c r="D101" s="122">
        <f t="shared" ref="D101:N101" si="65">$C101/D95</f>
        <v>4.9688503896975844E-3</v>
      </c>
      <c r="E101" s="122">
        <f t="shared" si="65"/>
        <v>5.2003050371751359E-3</v>
      </c>
      <c r="F101" s="122">
        <f t="shared" si="65"/>
        <v>5.4543760151236787E-3</v>
      </c>
      <c r="G101" s="122">
        <f t="shared" si="65"/>
        <v>5.7407967895256023E-3</v>
      </c>
      <c r="H101" s="122">
        <f t="shared" si="65"/>
        <v>6.0855982394098403E-3</v>
      </c>
      <c r="I101" s="122">
        <f t="shared" si="65"/>
        <v>6.5247996534546241E-3</v>
      </c>
      <c r="J101" s="122">
        <f t="shared" si="65"/>
        <v>7.1194326974673792E-3</v>
      </c>
      <c r="K101" s="122">
        <f t="shared" si="65"/>
        <v>7.9803065435007543E-3</v>
      </c>
      <c r="L101" s="122">
        <f t="shared" si="65"/>
        <v>9.3358234939177002E-3</v>
      </c>
      <c r="M101" s="122">
        <f t="shared" si="65"/>
        <v>1.1741004390338962E-2</v>
      </c>
      <c r="N101" s="122">
        <f t="shared" si="65"/>
        <v>1.3887533015516613E-2</v>
      </c>
      <c r="O101" s="121"/>
      <c r="P101" s="122"/>
    </row>
    <row r="102" spans="1:16" x14ac:dyDescent="0.25">
      <c r="B102" s="129"/>
    </row>
    <row r="103" spans="1:16" x14ac:dyDescent="0.25">
      <c r="A103" t="s">
        <v>253</v>
      </c>
      <c r="B103" s="129"/>
      <c r="C103" s="15" t="s">
        <v>243</v>
      </c>
      <c r="D103" s="15" t="s">
        <v>233</v>
      </c>
      <c r="E103" s="15" t="s">
        <v>232</v>
      </c>
      <c r="F103" s="15" t="s">
        <v>234</v>
      </c>
      <c r="G103" s="15" t="s">
        <v>235</v>
      </c>
      <c r="H103" s="15" t="s">
        <v>236</v>
      </c>
      <c r="I103" s="15" t="s">
        <v>237</v>
      </c>
      <c r="J103" s="15" t="s">
        <v>238</v>
      </c>
      <c r="K103" s="15" t="s">
        <v>239</v>
      </c>
      <c r="L103" s="15" t="s">
        <v>240</v>
      </c>
      <c r="M103" s="15" t="s">
        <v>241</v>
      </c>
      <c r="N103" s="15" t="s">
        <v>242</v>
      </c>
      <c r="O103" s="15"/>
    </row>
    <row r="104" spans="1:16" ht="14.4" x14ac:dyDescent="0.3">
      <c r="C104" s="123"/>
      <c r="D104" s="124">
        <f>VLOOKUP($A103,'KAVVV Records &amp; age-grading'!$A$30:$AF$55,20,FALSE)</f>
        <v>0.95720000000000005</v>
      </c>
      <c r="E104" s="124">
        <f>VLOOKUP($A103,'KAVVV Records &amp; age-grading'!$A$30:$AF$55,21,FALSE)</f>
        <v>0.91439999999999999</v>
      </c>
      <c r="F104" s="124">
        <f>VLOOKUP($A103,'KAVVV Records &amp; age-grading'!$A$30:$AF$55,22,FALSE)</f>
        <v>0.87160000000000004</v>
      </c>
      <c r="G104" s="124">
        <f>VLOOKUP($A103,'KAVVV Records &amp; age-grading'!$A$30:$AF$55,23,FALSE)</f>
        <v>0.8276</v>
      </c>
      <c r="H104" s="124">
        <f>VLOOKUP($A103,'KAVVV Records &amp; age-grading'!$A$30:$AF$55,24,FALSE)</f>
        <v>0.78029999999999999</v>
      </c>
      <c r="I104" s="124">
        <f>VLOOKUP($A103,'KAVVV Records &amp; age-grading'!$A$30:$AF$55,25,FALSE)</f>
        <v>0.72760000000000002</v>
      </c>
      <c r="J104" s="124">
        <f>VLOOKUP($A103,'KAVVV Records &amp; age-grading'!$A$30:$AF$55,26,FALSE)</f>
        <v>0.66690000000000005</v>
      </c>
      <c r="K104" s="124">
        <f>VLOOKUP($A103,'KAVVV Records &amp; age-grading'!$A$30:$AF$55,27,FALSE)</f>
        <v>0.59519999999999995</v>
      </c>
      <c r="L104" s="124">
        <f>VLOOKUP($A103,'KAVVV Records &amp; age-grading'!$A$30:$AF$55,28,FALSE)</f>
        <v>0.50900000000000001</v>
      </c>
      <c r="M104" s="124">
        <f>VLOOKUP($A103,'KAVVV Records &amp; age-grading'!$A$30:$AF$55,29,FALSE)</f>
        <v>0.4047</v>
      </c>
      <c r="N104" s="124">
        <f>VLOOKUP($A103,'KAVVV Records &amp; age-grading'!$A$30:$AF$55,30,FALSE)</f>
        <v>0.35060000000000002</v>
      </c>
      <c r="O104" s="124"/>
      <c r="P104" s="124"/>
    </row>
    <row r="105" spans="1:16" x14ac:dyDescent="0.25">
      <c r="A105" s="118">
        <f>Puntenberekening!$Q$22</f>
        <v>0.3</v>
      </c>
      <c r="B105" s="130">
        <v>6</v>
      </c>
      <c r="C105" s="122">
        <f>C110*(1+$A105)</f>
        <v>9.1045138888888894E-3</v>
      </c>
      <c r="D105" s="122">
        <f t="shared" ref="D105:N105" si="66">$C105/D104</f>
        <v>9.5116108325207782E-3</v>
      </c>
      <c r="E105" s="122">
        <f t="shared" si="66"/>
        <v>9.9568174637892498E-3</v>
      </c>
      <c r="F105" s="122">
        <f t="shared" si="66"/>
        <v>1.0445747922084544E-2</v>
      </c>
      <c r="G105" s="122">
        <f t="shared" si="66"/>
        <v>1.1001104264003008E-2</v>
      </c>
      <c r="H105" s="122">
        <f t="shared" si="66"/>
        <v>1.1667966024463527E-2</v>
      </c>
      <c r="I105" s="122">
        <f t="shared" si="66"/>
        <v>1.2513075713151304E-2</v>
      </c>
      <c r="J105" s="122">
        <f t="shared" si="66"/>
        <v>1.3651992635910765E-2</v>
      </c>
      <c r="K105" s="122">
        <f t="shared" si="66"/>
        <v>1.5296562313321388E-2</v>
      </c>
      <c r="L105" s="122">
        <f t="shared" si="66"/>
        <v>1.7887060685439861E-2</v>
      </c>
      <c r="M105" s="122">
        <f t="shared" si="66"/>
        <v>2.2496945611289572E-2</v>
      </c>
      <c r="N105" s="122">
        <f t="shared" si="66"/>
        <v>2.5968379603219877E-2</v>
      </c>
      <c r="O105" s="121"/>
    </row>
    <row r="106" spans="1:16" x14ac:dyDescent="0.25">
      <c r="A106" s="118">
        <f>Puntenberekening!$Q$21</f>
        <v>0.22</v>
      </c>
      <c r="B106" s="130">
        <v>7</v>
      </c>
      <c r="C106" s="122">
        <f>C110*(1+$A106)</f>
        <v>8.5442361111111118E-3</v>
      </c>
      <c r="D106" s="122">
        <f t="shared" ref="D106:N106" si="67">$C106/D104</f>
        <v>8.9262809351348844E-3</v>
      </c>
      <c r="E106" s="122">
        <f t="shared" si="67"/>
        <v>9.3440902352483722E-3</v>
      </c>
      <c r="F106" s="122">
        <f t="shared" si="67"/>
        <v>9.8029326653408799E-3</v>
      </c>
      <c r="G106" s="122">
        <f t="shared" si="67"/>
        <v>1.0324113232372053E-2</v>
      </c>
      <c r="H106" s="122">
        <f t="shared" si="67"/>
        <v>1.0949937346035003E-2</v>
      </c>
      <c r="I106" s="122">
        <f t="shared" si="67"/>
        <v>1.1743040284649685E-2</v>
      </c>
      <c r="J106" s="122">
        <f t="shared" si="67"/>
        <v>1.2811870012162409E-2</v>
      </c>
      <c r="K106" s="122">
        <f t="shared" si="67"/>
        <v>1.4355235401732379E-2</v>
      </c>
      <c r="L106" s="122">
        <f t="shared" si="67"/>
        <v>1.6786318489412793E-2</v>
      </c>
      <c r="M106" s="122">
        <f t="shared" si="67"/>
        <v>2.1112518189056368E-2</v>
      </c>
      <c r="N106" s="122">
        <f t="shared" si="67"/>
        <v>2.4370325473790963E-2</v>
      </c>
      <c r="O106" s="121"/>
    </row>
    <row r="107" spans="1:16" x14ac:dyDescent="0.25">
      <c r="A107" s="118">
        <f>Puntenberekening!$Q$20</f>
        <v>0.15</v>
      </c>
      <c r="B107" s="130">
        <v>8</v>
      </c>
      <c r="C107" s="122">
        <f>C110*(1+$A107)</f>
        <v>8.0539930555555556E-3</v>
      </c>
      <c r="D107" s="122">
        <f t="shared" ref="D107:N107" si="68">$C107/D104</f>
        <v>8.4141172749222261E-3</v>
      </c>
      <c r="E107" s="122">
        <f t="shared" si="68"/>
        <v>8.8079539102751039E-3</v>
      </c>
      <c r="F107" s="122">
        <f t="shared" si="68"/>
        <v>9.2404693156901731E-3</v>
      </c>
      <c r="G107" s="122">
        <f t="shared" si="68"/>
        <v>9.7317460796949688E-3</v>
      </c>
      <c r="H107" s="122">
        <f t="shared" si="68"/>
        <v>1.0321662252410041E-2</v>
      </c>
      <c r="I107" s="122">
        <f t="shared" si="68"/>
        <v>1.1069259284710769E-2</v>
      </c>
      <c r="J107" s="122">
        <f t="shared" si="68"/>
        <v>1.2076762716382599E-2</v>
      </c>
      <c r="K107" s="122">
        <f t="shared" si="68"/>
        <v>1.3531574354091996E-2</v>
      </c>
      <c r="L107" s="122">
        <f t="shared" si="68"/>
        <v>1.5823169067889106E-2</v>
      </c>
      <c r="M107" s="122">
        <f t="shared" si="68"/>
        <v>1.9901144194602313E-2</v>
      </c>
      <c r="N107" s="122">
        <f t="shared" si="68"/>
        <v>2.2972028110540658E-2</v>
      </c>
      <c r="O107" s="121"/>
    </row>
    <row r="108" spans="1:16" x14ac:dyDescent="0.25">
      <c r="A108" s="118">
        <f>Puntenberekening!$Q$19</f>
        <v>0.09</v>
      </c>
      <c r="B108" s="130">
        <v>9</v>
      </c>
      <c r="C108" s="122">
        <f>C110*(1+$A108)</f>
        <v>7.6337847222222232E-3</v>
      </c>
      <c r="D108" s="122">
        <f t="shared" ref="D108:N108" si="69">$C108/D104</f>
        <v>7.9751198518828066E-3</v>
      </c>
      <c r="E108" s="122">
        <f t="shared" si="69"/>
        <v>8.3484084888694483E-3</v>
      </c>
      <c r="F108" s="122">
        <f t="shared" si="69"/>
        <v>8.7583578731324271E-3</v>
      </c>
      <c r="G108" s="122">
        <f t="shared" si="69"/>
        <v>9.2240028059717531E-3</v>
      </c>
      <c r="H108" s="122">
        <f t="shared" si="69"/>
        <v>9.7831407435886499E-3</v>
      </c>
      <c r="I108" s="122">
        <f t="shared" si="69"/>
        <v>1.0491732713334556E-2</v>
      </c>
      <c r="J108" s="122">
        <f t="shared" si="69"/>
        <v>1.1446670748571334E-2</v>
      </c>
      <c r="K108" s="122">
        <f t="shared" si="69"/>
        <v>1.2825579170400241E-2</v>
      </c>
      <c r="L108" s="122">
        <f t="shared" si="69"/>
        <v>1.4997612420868807E-2</v>
      </c>
      <c r="M108" s="122">
        <f t="shared" si="69"/>
        <v>1.8862823627927412E-2</v>
      </c>
      <c r="N108" s="122">
        <f t="shared" si="69"/>
        <v>2.1773487513468977E-2</v>
      </c>
      <c r="O108" s="121"/>
    </row>
    <row r="109" spans="1:16" x14ac:dyDescent="0.25">
      <c r="A109" s="118">
        <f>Puntenberekening!$Q$18</f>
        <v>0.04</v>
      </c>
      <c r="B109" s="130">
        <v>10</v>
      </c>
      <c r="C109" s="122">
        <f>C110*(1+$A109)</f>
        <v>7.2836111111111114E-3</v>
      </c>
      <c r="D109" s="122">
        <f t="shared" ref="D109:N109" si="70">$C109/D104</f>
        <v>7.6092886660166226E-3</v>
      </c>
      <c r="E109" s="122">
        <f t="shared" si="70"/>
        <v>7.9654539710313985E-3</v>
      </c>
      <c r="F109" s="122">
        <f t="shared" si="70"/>
        <v>8.356598337667635E-3</v>
      </c>
      <c r="G109" s="122">
        <f t="shared" si="70"/>
        <v>8.8008834112024061E-3</v>
      </c>
      <c r="H109" s="122">
        <f t="shared" si="70"/>
        <v>9.3343728195708214E-3</v>
      </c>
      <c r="I109" s="122">
        <f t="shared" si="70"/>
        <v>1.0010460570521044E-2</v>
      </c>
      <c r="J109" s="122">
        <f t="shared" si="70"/>
        <v>1.0921594108728611E-2</v>
      </c>
      <c r="K109" s="122">
        <f t="shared" si="70"/>
        <v>1.2237249850657109E-2</v>
      </c>
      <c r="L109" s="122">
        <f t="shared" si="70"/>
        <v>1.4309648548351888E-2</v>
      </c>
      <c r="M109" s="122">
        <f t="shared" si="70"/>
        <v>1.7997556489031657E-2</v>
      </c>
      <c r="N109" s="122">
        <f t="shared" si="70"/>
        <v>2.0774703682575901E-2</v>
      </c>
      <c r="O109" s="121"/>
    </row>
    <row r="110" spans="1:16" x14ac:dyDescent="0.25">
      <c r="A110" s="118">
        <f>Puntenberekening!$Q$17</f>
        <v>0</v>
      </c>
      <c r="B110" s="130">
        <v>11</v>
      </c>
      <c r="C110" s="122">
        <f>VLOOKUP(A103,'KAVVV Records &amp; age-grading'!$A$30:$C$55,3,FALSE)</f>
        <v>7.0034722222222226E-3</v>
      </c>
      <c r="D110" s="122">
        <f t="shared" ref="D110:N110" si="71">$C110/D104</f>
        <v>7.3166237173236757E-3</v>
      </c>
      <c r="E110" s="122">
        <f t="shared" si="71"/>
        <v>7.6590903567609605E-3</v>
      </c>
      <c r="F110" s="122">
        <f t="shared" si="71"/>
        <v>8.0351907092958037E-3</v>
      </c>
      <c r="G110" s="122">
        <f t="shared" si="71"/>
        <v>8.4623878953869296E-3</v>
      </c>
      <c r="H110" s="122">
        <f t="shared" si="71"/>
        <v>8.9753584803565593E-3</v>
      </c>
      <c r="I110" s="122">
        <f t="shared" si="71"/>
        <v>9.625442856270235E-3</v>
      </c>
      <c r="J110" s="122">
        <f t="shared" si="71"/>
        <v>1.0501532796854434E-2</v>
      </c>
      <c r="K110" s="122">
        <f t="shared" si="71"/>
        <v>1.1766586394862607E-2</v>
      </c>
      <c r="L110" s="122">
        <f t="shared" si="71"/>
        <v>1.3759277450338354E-2</v>
      </c>
      <c r="M110" s="122">
        <f t="shared" si="71"/>
        <v>1.7305342777915053E-2</v>
      </c>
      <c r="N110" s="122">
        <f t="shared" si="71"/>
        <v>1.9975676617861444E-2</v>
      </c>
      <c r="O110" s="121"/>
    </row>
    <row r="111" spans="1:16" x14ac:dyDescent="0.25">
      <c r="B111" s="129"/>
    </row>
    <row r="112" spans="1:16" x14ac:dyDescent="0.25">
      <c r="A112" t="s">
        <v>254</v>
      </c>
      <c r="B112" s="129"/>
      <c r="C112" s="15" t="s">
        <v>243</v>
      </c>
      <c r="D112" s="15" t="s">
        <v>233</v>
      </c>
      <c r="E112" s="15" t="s">
        <v>232</v>
      </c>
      <c r="F112" s="15" t="s">
        <v>234</v>
      </c>
      <c r="G112" s="15" t="s">
        <v>235</v>
      </c>
      <c r="H112" s="15" t="s">
        <v>236</v>
      </c>
      <c r="I112" s="15" t="s">
        <v>237</v>
      </c>
      <c r="J112" s="15" t="s">
        <v>238</v>
      </c>
      <c r="K112" s="15" t="s">
        <v>239</v>
      </c>
      <c r="L112" s="15" t="s">
        <v>240</v>
      </c>
      <c r="M112" s="15" t="s">
        <v>241</v>
      </c>
      <c r="N112" s="15" t="s">
        <v>242</v>
      </c>
      <c r="O112" s="15"/>
    </row>
    <row r="113" spans="1:16" ht="14.4" x14ac:dyDescent="0.3">
      <c r="C113" s="123"/>
      <c r="D113" s="124">
        <f>VLOOKUP($A112,'KAVVV Records &amp; age-grading'!$A$30:$AF$55,20,FALSE)</f>
        <v>0.97750000000000004</v>
      </c>
      <c r="E113" s="124">
        <f>VLOOKUP($A112,'KAVVV Records &amp; age-grading'!$A$30:$AF$55,21,FALSE)</f>
        <v>0.91500000000000004</v>
      </c>
      <c r="F113" s="124">
        <f>VLOOKUP($A112,'KAVVV Records &amp; age-grading'!$A$30:$AF$55,22,FALSE)</f>
        <v>0.87250000000000005</v>
      </c>
      <c r="G113" s="124">
        <f>VLOOKUP($A112,'KAVVV Records &amp; age-grading'!$A$30:$AF$55,23,FALSE)</f>
        <v>0.83</v>
      </c>
      <c r="H113" s="124">
        <f>VLOOKUP($A112,'KAVVV Records &amp; age-grading'!$A$30:$AF$55,24,FALSE)</f>
        <v>0.78480000000000005</v>
      </c>
      <c r="I113" s="124">
        <f>VLOOKUP($A112,'KAVVV Records &amp; age-grading'!$A$30:$AF$55,25,FALSE)</f>
        <v>0.73529999999999995</v>
      </c>
      <c r="J113" s="124">
        <f>VLOOKUP($A112,'KAVVV Records &amp; age-grading'!$A$30:$AF$55,26,FALSE)</f>
        <v>0.67969999999999997</v>
      </c>
      <c r="K113" s="124">
        <f>VLOOKUP($A112,'KAVVV Records &amp; age-grading'!$A$30:$AF$55,27,FALSE)</f>
        <v>0.61599999999999999</v>
      </c>
      <c r="L113" s="124">
        <f>VLOOKUP($A112,'KAVVV Records &amp; age-grading'!$A$30:$AF$55,28,FALSE)</f>
        <v>0.54200000000000004</v>
      </c>
      <c r="M113" s="124">
        <f>VLOOKUP($A112,'KAVVV Records &amp; age-grading'!$A$30:$AF$55,29,FALSE)</f>
        <v>0.45529999999999998</v>
      </c>
      <c r="N113" s="124">
        <f>VLOOKUP($A112,'KAVVV Records &amp; age-grading'!$A$30:$AF$55,30,FALSE)</f>
        <v>0.34949999999999998</v>
      </c>
      <c r="O113" s="124"/>
      <c r="P113" s="124"/>
    </row>
    <row r="114" spans="1:16" x14ac:dyDescent="0.25">
      <c r="A114" s="118">
        <f>Puntenberekening!$Q$22</f>
        <v>0.3</v>
      </c>
      <c r="B114" s="130">
        <v>6</v>
      </c>
      <c r="C114" s="122">
        <f>C119*(1+$A114)</f>
        <v>1.6277835648148151E-2</v>
      </c>
      <c r="D114" s="122">
        <f t="shared" ref="D114:N114" si="72">$C114/D113</f>
        <v>1.6652517287108082E-2</v>
      </c>
      <c r="E114" s="122">
        <f t="shared" si="72"/>
        <v>1.7789984314916012E-2</v>
      </c>
      <c r="F114" s="122">
        <f t="shared" si="72"/>
        <v>1.8656545155470657E-2</v>
      </c>
      <c r="G114" s="122">
        <f t="shared" si="72"/>
        <v>1.9611850178491749E-2</v>
      </c>
      <c r="H114" s="122">
        <f t="shared" si="72"/>
        <v>2.0741380795295809E-2</v>
      </c>
      <c r="I114" s="122">
        <f t="shared" si="72"/>
        <v>2.2137679380046446E-2</v>
      </c>
      <c r="J114" s="122">
        <f t="shared" si="72"/>
        <v>2.3948559141015378E-2</v>
      </c>
      <c r="K114" s="122">
        <f t="shared" si="72"/>
        <v>2.6425057870370375E-2</v>
      </c>
      <c r="L114" s="122">
        <f t="shared" si="72"/>
        <v>3.0032907099904336E-2</v>
      </c>
      <c r="M114" s="122">
        <f t="shared" si="72"/>
        <v>3.5751890288047775E-2</v>
      </c>
      <c r="N114" s="122">
        <f t="shared" si="72"/>
        <v>4.6574637047634197E-2</v>
      </c>
      <c r="O114" s="121"/>
    </row>
    <row r="115" spans="1:16" x14ac:dyDescent="0.25">
      <c r="A115" s="118">
        <f>Puntenberekening!$Q$21</f>
        <v>0.22</v>
      </c>
      <c r="B115" s="130">
        <v>7</v>
      </c>
      <c r="C115" s="122">
        <f>C119*(1+$A115)</f>
        <v>1.5276122685185186E-2</v>
      </c>
      <c r="D115" s="122">
        <f t="shared" ref="D115:N115" si="73">$C115/D113</f>
        <v>1.5627746992516813E-2</v>
      </c>
      <c r="E115" s="122">
        <f t="shared" si="73"/>
        <v>1.6695216049382716E-2</v>
      </c>
      <c r="F115" s="122">
        <f t="shared" si="73"/>
        <v>1.7508450068980153E-2</v>
      </c>
      <c r="G115" s="122">
        <f t="shared" si="73"/>
        <v>1.8404967090584562E-2</v>
      </c>
      <c r="H115" s="122">
        <f t="shared" si="73"/>
        <v>1.9464988130969911E-2</v>
      </c>
      <c r="I115" s="122">
        <f t="shared" si="73"/>
        <v>2.0775360648966661E-2</v>
      </c>
      <c r="J115" s="122">
        <f t="shared" si="73"/>
        <v>2.2474801655414427E-2</v>
      </c>
      <c r="K115" s="122">
        <f t="shared" si="73"/>
        <v>2.4798900462962965E-2</v>
      </c>
      <c r="L115" s="122">
        <f t="shared" si="73"/>
        <v>2.818472820144868E-2</v>
      </c>
      <c r="M115" s="122">
        <f t="shared" si="73"/>
        <v>3.3551773962629448E-2</v>
      </c>
      <c r="N115" s="122">
        <f t="shared" si="73"/>
        <v>4.3708505537010549E-2</v>
      </c>
      <c r="O115" s="121"/>
    </row>
    <row r="116" spans="1:16" x14ac:dyDescent="0.25">
      <c r="A116" s="118">
        <f>Puntenberekening!$Q$20</f>
        <v>0.15</v>
      </c>
      <c r="B116" s="130">
        <v>8</v>
      </c>
      <c r="C116" s="122">
        <f>C119*(1+$A116)</f>
        <v>1.4399623842592591E-2</v>
      </c>
      <c r="D116" s="122">
        <f t="shared" ref="D116:N116" si="74">$C116/D113</f>
        <v>1.4731072984749453E-2</v>
      </c>
      <c r="E116" s="122">
        <f t="shared" si="74"/>
        <v>1.5737293817041084E-2</v>
      </c>
      <c r="F116" s="122">
        <f t="shared" si="74"/>
        <v>1.6503866868300965E-2</v>
      </c>
      <c r="G116" s="122">
        <f t="shared" si="74"/>
        <v>1.7348944388665775E-2</v>
      </c>
      <c r="H116" s="122">
        <f t="shared" si="74"/>
        <v>1.8348144549684749E-2</v>
      </c>
      <c r="I116" s="122">
        <f t="shared" si="74"/>
        <v>1.9583331759271853E-2</v>
      </c>
      <c r="J116" s="122">
        <f t="shared" si="74"/>
        <v>2.1185263855513597E-2</v>
      </c>
      <c r="K116" s="122">
        <f t="shared" si="74"/>
        <v>2.3376012731481481E-2</v>
      </c>
      <c r="L116" s="122">
        <f t="shared" si="74"/>
        <v>2.6567571665299983E-2</v>
      </c>
      <c r="M116" s="122">
        <f t="shared" si="74"/>
        <v>3.1626672177888407E-2</v>
      </c>
      <c r="N116" s="122">
        <f t="shared" si="74"/>
        <v>4.1200640465214856E-2</v>
      </c>
      <c r="O116" s="121"/>
    </row>
    <row r="117" spans="1:16" x14ac:dyDescent="0.25">
      <c r="A117" s="118">
        <f>Puntenberekening!$Q$19</f>
        <v>0.09</v>
      </c>
      <c r="B117" s="130">
        <v>9</v>
      </c>
      <c r="C117" s="122">
        <f>C119*(1+$A117)</f>
        <v>1.3648339120370372E-2</v>
      </c>
      <c r="D117" s="122">
        <f t="shared" ref="D117:N117" si="75">$C117/D113</f>
        <v>1.3962495263806007E-2</v>
      </c>
      <c r="E117" s="122">
        <f t="shared" si="75"/>
        <v>1.4916217617891117E-2</v>
      </c>
      <c r="F117" s="122">
        <f t="shared" si="75"/>
        <v>1.5642795553433092E-2</v>
      </c>
      <c r="G117" s="122">
        <f t="shared" si="75"/>
        <v>1.6443782072735388E-2</v>
      </c>
      <c r="H117" s="122">
        <f t="shared" si="75"/>
        <v>1.7390850051440331E-2</v>
      </c>
      <c r="I117" s="122">
        <f t="shared" si="75"/>
        <v>1.856159271096202E-2</v>
      </c>
      <c r="J117" s="122">
        <f t="shared" si="75"/>
        <v>2.0079945741312891E-2</v>
      </c>
      <c r="K117" s="122">
        <f t="shared" si="75"/>
        <v>2.2156394675925929E-2</v>
      </c>
      <c r="L117" s="122">
        <f t="shared" si="75"/>
        <v>2.518143749145825E-2</v>
      </c>
      <c r="M117" s="122">
        <f t="shared" si="75"/>
        <v>2.9976584933824671E-2</v>
      </c>
      <c r="N117" s="122">
        <f t="shared" si="75"/>
        <v>3.9051041832247134E-2</v>
      </c>
      <c r="O117" s="121"/>
    </row>
    <row r="118" spans="1:16" x14ac:dyDescent="0.25">
      <c r="A118" s="118">
        <f>Puntenberekening!$Q$18</f>
        <v>0.04</v>
      </c>
      <c r="B118" s="130">
        <v>10</v>
      </c>
      <c r="C118" s="122">
        <f>C119*(1+$A118)</f>
        <v>1.302226851851852E-2</v>
      </c>
      <c r="D118" s="122">
        <f t="shared" ref="D118:N118" si="76">$C118/D113</f>
        <v>1.3322013829686464E-2</v>
      </c>
      <c r="E118" s="122">
        <f t="shared" si="76"/>
        <v>1.4231987451932809E-2</v>
      </c>
      <c r="F118" s="122">
        <f t="shared" si="76"/>
        <v>1.4925236124376526E-2</v>
      </c>
      <c r="G118" s="122">
        <f t="shared" si="76"/>
        <v>1.5689480142793397E-2</v>
      </c>
      <c r="H118" s="122">
        <f t="shared" si="76"/>
        <v>1.6593104636236644E-2</v>
      </c>
      <c r="I118" s="122">
        <f t="shared" si="76"/>
        <v>1.7710143504037157E-2</v>
      </c>
      <c r="J118" s="122">
        <f t="shared" si="76"/>
        <v>1.91588473128123E-2</v>
      </c>
      <c r="K118" s="122">
        <f t="shared" si="76"/>
        <v>2.1140046296296299E-2</v>
      </c>
      <c r="L118" s="122">
        <f t="shared" si="76"/>
        <v>2.4026325679923466E-2</v>
      </c>
      <c r="M118" s="122">
        <f t="shared" si="76"/>
        <v>2.8601512230438216E-2</v>
      </c>
      <c r="N118" s="122">
        <f t="shared" si="76"/>
        <v>3.7259709638107354E-2</v>
      </c>
      <c r="O118" s="121"/>
    </row>
    <row r="119" spans="1:16" x14ac:dyDescent="0.25">
      <c r="A119" s="118">
        <f>Puntenberekening!$Q$17</f>
        <v>0</v>
      </c>
      <c r="B119" s="130">
        <v>11</v>
      </c>
      <c r="C119" s="122">
        <f>VLOOKUP(A112,'KAVVV Records &amp; age-grading'!$A$30:$C$55,3,FALSE)</f>
        <v>1.2521412037037037E-2</v>
      </c>
      <c r="D119" s="122">
        <f t="shared" ref="D119:N119" si="77">$C119/D113</f>
        <v>1.2809628682390831E-2</v>
      </c>
      <c r="E119" s="122">
        <f t="shared" si="77"/>
        <v>1.3684603319166161E-2</v>
      </c>
      <c r="F119" s="122">
        <f t="shared" si="77"/>
        <v>1.4351188581131274E-2</v>
      </c>
      <c r="G119" s="122">
        <f t="shared" si="77"/>
        <v>1.5086038598839805E-2</v>
      </c>
      <c r="H119" s="122">
        <f t="shared" si="77"/>
        <v>1.5954908304073697E-2</v>
      </c>
      <c r="I119" s="122">
        <f t="shared" si="77"/>
        <v>1.7028984138497263E-2</v>
      </c>
      <c r="J119" s="122">
        <f t="shared" si="77"/>
        <v>1.8421968570011826E-2</v>
      </c>
      <c r="K119" s="122">
        <f t="shared" si="77"/>
        <v>2.0326967592592594E-2</v>
      </c>
      <c r="L119" s="122">
        <f t="shared" si="77"/>
        <v>2.3102236230695638E-2</v>
      </c>
      <c r="M119" s="122">
        <f t="shared" si="77"/>
        <v>2.7501454067729053E-2</v>
      </c>
      <c r="N119" s="122">
        <f t="shared" si="77"/>
        <v>3.5826643882795529E-2</v>
      </c>
      <c r="O119" s="121"/>
    </row>
    <row r="120" spans="1:16" x14ac:dyDescent="0.25">
      <c r="B120" s="129"/>
    </row>
    <row r="121" spans="1:16" x14ac:dyDescent="0.25">
      <c r="A121" t="s">
        <v>291</v>
      </c>
      <c r="B121" s="129"/>
      <c r="C121" s="15" t="s">
        <v>243</v>
      </c>
      <c r="D121" s="15" t="s">
        <v>233</v>
      </c>
      <c r="E121" s="15" t="s">
        <v>232</v>
      </c>
      <c r="F121" s="15" t="s">
        <v>234</v>
      </c>
      <c r="G121" s="15" t="s">
        <v>235</v>
      </c>
      <c r="H121" s="15" t="s">
        <v>236</v>
      </c>
      <c r="I121" s="15" t="s">
        <v>237</v>
      </c>
      <c r="J121" s="15" t="s">
        <v>238</v>
      </c>
      <c r="K121" s="15" t="s">
        <v>239</v>
      </c>
      <c r="L121" s="15" t="s">
        <v>240</v>
      </c>
      <c r="M121" s="15" t="s">
        <v>241</v>
      </c>
      <c r="N121" s="15" t="s">
        <v>242</v>
      </c>
      <c r="O121" s="15"/>
    </row>
    <row r="122" spans="1:16" ht="14.4" x14ac:dyDescent="0.3">
      <c r="C122" s="123"/>
      <c r="D122" s="124">
        <f>VLOOKUP($A121,'KAVVV Records &amp; age-grading'!$A$30:$AF$55,20,FALSE)</f>
        <v>0.95889999999999997</v>
      </c>
      <c r="E122" s="124">
        <f>VLOOKUP($A121,'KAVVV Records &amp; age-grading'!$A$30:$AF$55,21,FALSE)</f>
        <v>0.91600000000000004</v>
      </c>
      <c r="F122" s="124">
        <f>VLOOKUP($A121,'KAVVV Records &amp; age-grading'!$A$30:$AF$55,22,FALSE)</f>
        <v>0.874</v>
      </c>
      <c r="G122" s="124">
        <f>VLOOKUP($A121,'KAVVV Records &amp; age-grading'!$A$30:$AF$55,23,FALSE)</f>
        <v>0.83199999999999996</v>
      </c>
      <c r="H122" s="124">
        <f>VLOOKUP($A121,'KAVVV Records &amp; age-grading'!$A$30:$AF$55,24,FALSE)</f>
        <v>0.78739999999999999</v>
      </c>
      <c r="I122" s="124">
        <f>VLOOKUP($A121,'KAVVV Records &amp; age-grading'!$A$30:$AF$55,25,FALSE)</f>
        <v>0.73819999999999997</v>
      </c>
      <c r="J122" s="124">
        <f>VLOOKUP($A121,'KAVVV Records &amp; age-grading'!$A$30:$AF$55,26,FALSE)</f>
        <v>0.68220000000000003</v>
      </c>
      <c r="K122" s="124">
        <f>VLOOKUP($A121,'KAVVV Records &amp; age-grading'!$A$30:$AF$55,27,FALSE)</f>
        <v>0.6169</v>
      </c>
      <c r="L122" s="124">
        <f>VLOOKUP($A121,'KAVVV Records &amp; age-grading'!$A$30:$AF$55,28,FALSE)</f>
        <v>0.53939999999999999</v>
      </c>
      <c r="M122" s="124">
        <f>VLOOKUP($A121,'KAVVV Records &amp; age-grading'!$A$30:$AF$55,29,FALSE)</f>
        <v>0.44640000000000002</v>
      </c>
      <c r="N122" s="124">
        <f>VLOOKUP($A121,'KAVVV Records &amp; age-grading'!$A$30:$AF$55,30,FALSE)</f>
        <v>0.36699999999999999</v>
      </c>
      <c r="O122" s="124"/>
      <c r="P122" s="124"/>
    </row>
    <row r="123" spans="1:16" x14ac:dyDescent="0.25">
      <c r="A123" s="118">
        <f>Puntenberekening!$Q$22</f>
        <v>0.3</v>
      </c>
      <c r="B123" s="130">
        <v>6</v>
      </c>
      <c r="C123" s="119">
        <f>C128*(1+$A123)</f>
        <v>4.1798611111111106E-2</v>
      </c>
      <c r="D123" s="119">
        <f t="shared" ref="D123:N123" si="78">$C123/D122</f>
        <v>4.359016697373147E-2</v>
      </c>
      <c r="E123" s="119">
        <f t="shared" si="78"/>
        <v>4.5631671518680243E-2</v>
      </c>
      <c r="F123" s="119">
        <f t="shared" si="78"/>
        <v>4.7824497838799891E-2</v>
      </c>
      <c r="G123" s="119">
        <f t="shared" si="78"/>
        <v>5.0238715277777776E-2</v>
      </c>
      <c r="H123" s="119">
        <f t="shared" si="78"/>
        <v>5.3084342279795665E-2</v>
      </c>
      <c r="I123" s="119">
        <f t="shared" si="78"/>
        <v>5.6622339624913448E-2</v>
      </c>
      <c r="J123" s="119">
        <f t="shared" si="78"/>
        <v>6.1270318251408828E-2</v>
      </c>
      <c r="K123" s="119">
        <f t="shared" si="78"/>
        <v>6.7755894166171352E-2</v>
      </c>
      <c r="L123" s="119">
        <f t="shared" si="78"/>
        <v>7.749093643142585E-2</v>
      </c>
      <c r="M123" s="119">
        <f t="shared" si="78"/>
        <v>9.3634881521306237E-2</v>
      </c>
      <c r="N123" s="119">
        <f t="shared" si="78"/>
        <v>0.11389267332727822</v>
      </c>
      <c r="O123" s="121"/>
    </row>
    <row r="124" spans="1:16" x14ac:dyDescent="0.25">
      <c r="A124" s="118">
        <f>Puntenberekening!$Q$21</f>
        <v>0.22</v>
      </c>
      <c r="B124" s="130">
        <v>7</v>
      </c>
      <c r="C124" s="119">
        <f>C128*(1+$A124)</f>
        <v>3.922638888888888E-2</v>
      </c>
      <c r="D124" s="119">
        <f t="shared" ref="D124:N124" si="79">$C124/D122</f>
        <v>4.0907695159963377E-2</v>
      </c>
      <c r="E124" s="119">
        <f t="shared" si="79"/>
        <v>4.2823568655992225E-2</v>
      </c>
      <c r="F124" s="119">
        <f t="shared" si="79"/>
        <v>4.4881451817950661E-2</v>
      </c>
      <c r="G124" s="119">
        <f t="shared" si="79"/>
        <v>4.7147102029914519E-2</v>
      </c>
      <c r="H124" s="119">
        <f t="shared" si="79"/>
        <v>4.9817613524115928E-2</v>
      </c>
      <c r="I124" s="119">
        <f t="shared" si="79"/>
        <v>5.3137887955688003E-2</v>
      </c>
      <c r="J124" s="119">
        <f t="shared" si="79"/>
        <v>5.7499837128245204E-2</v>
      </c>
      <c r="K124" s="119">
        <f t="shared" si="79"/>
        <v>6.3586300679022337E-2</v>
      </c>
      <c r="L124" s="119">
        <f t="shared" si="79"/>
        <v>7.2722263420261182E-2</v>
      </c>
      <c r="M124" s="119">
        <f t="shared" si="79"/>
        <v>8.7872734966148919E-2</v>
      </c>
      <c r="N124" s="119">
        <f t="shared" si="79"/>
        <v>0.10688389343021494</v>
      </c>
      <c r="O124" s="121"/>
    </row>
    <row r="125" spans="1:16" x14ac:dyDescent="0.25">
      <c r="A125" s="118">
        <f>Puntenberekening!$Q$20</f>
        <v>0.15</v>
      </c>
      <c r="B125" s="130">
        <v>8</v>
      </c>
      <c r="C125" s="119">
        <f>C128*(1+$A125)</f>
        <v>3.6975694444444436E-2</v>
      </c>
      <c r="D125" s="119">
        <f t="shared" ref="D125:N125" si="80">$C125/D122</f>
        <v>3.8560532322916299E-2</v>
      </c>
      <c r="E125" s="119">
        <f t="shared" si="80"/>
        <v>4.0366478651140215E-2</v>
      </c>
      <c r="F125" s="119">
        <f t="shared" si="80"/>
        <v>4.230628654970759E-2</v>
      </c>
      <c r="G125" s="119">
        <f t="shared" si="80"/>
        <v>4.4441940438034178E-2</v>
      </c>
      <c r="H125" s="119">
        <f t="shared" si="80"/>
        <v>4.6959225862896158E-2</v>
      </c>
      <c r="I125" s="119">
        <f t="shared" si="80"/>
        <v>5.0088992745115739E-2</v>
      </c>
      <c r="J125" s="119">
        <f t="shared" si="80"/>
        <v>5.4200666145477035E-2</v>
      </c>
      <c r="K125" s="119">
        <f t="shared" si="80"/>
        <v>5.9937906377766956E-2</v>
      </c>
      <c r="L125" s="119">
        <f t="shared" si="80"/>
        <v>6.85496745354921E-2</v>
      </c>
      <c r="M125" s="119">
        <f t="shared" si="80"/>
        <v>8.2830856730386274E-2</v>
      </c>
      <c r="N125" s="119">
        <f t="shared" si="80"/>
        <v>0.10075121102028457</v>
      </c>
      <c r="O125" s="121"/>
    </row>
    <row r="126" spans="1:16" x14ac:dyDescent="0.25">
      <c r="A126" s="118">
        <f>Puntenberekening!$Q$19</f>
        <v>0.09</v>
      </c>
      <c r="B126" s="130">
        <v>9</v>
      </c>
      <c r="C126" s="119">
        <f>C128*(1+$A126)</f>
        <v>3.5046527777777774E-2</v>
      </c>
      <c r="D126" s="119">
        <f t="shared" ref="D126:N126" si="81">$C126/D122</f>
        <v>3.6548678462590231E-2</v>
      </c>
      <c r="E126" s="119">
        <f t="shared" si="81"/>
        <v>3.8260401504124207E-2</v>
      </c>
      <c r="F126" s="119">
        <f t="shared" si="81"/>
        <v>4.0099002034070678E-2</v>
      </c>
      <c r="G126" s="119">
        <f t="shared" si="81"/>
        <v>4.2123230502136746E-2</v>
      </c>
      <c r="H126" s="119">
        <f t="shared" si="81"/>
        <v>4.4509179296136368E-2</v>
      </c>
      <c r="I126" s="119">
        <f t="shared" si="81"/>
        <v>4.7475653993196663E-2</v>
      </c>
      <c r="J126" s="119">
        <f t="shared" si="81"/>
        <v>5.1372805303104327E-2</v>
      </c>
      <c r="K126" s="119">
        <f t="shared" si="81"/>
        <v>5.6810711262405209E-2</v>
      </c>
      <c r="L126" s="119">
        <f t="shared" si="81"/>
        <v>6.4973169777118603E-2</v>
      </c>
      <c r="M126" s="119">
        <f t="shared" si="81"/>
        <v>7.8509246814018302E-2</v>
      </c>
      <c r="N126" s="119">
        <f t="shared" si="81"/>
        <v>9.5494626097487129E-2</v>
      </c>
      <c r="O126" s="121"/>
    </row>
    <row r="127" spans="1:16" x14ac:dyDescent="0.25">
      <c r="A127" s="118">
        <f>Puntenberekening!$Q$18</f>
        <v>0.04</v>
      </c>
      <c r="B127" s="130">
        <v>10</v>
      </c>
      <c r="C127" s="119">
        <f>C128*(1+$A127)</f>
        <v>3.3438888888888886E-2</v>
      </c>
      <c r="D127" s="119">
        <f t="shared" ref="D127:N127" si="82">$C127/D122</f>
        <v>3.4872133578985179E-2</v>
      </c>
      <c r="E127" s="119">
        <f t="shared" si="82"/>
        <v>3.65053372149442E-2</v>
      </c>
      <c r="F127" s="119">
        <f t="shared" si="82"/>
        <v>3.8259598271039919E-2</v>
      </c>
      <c r="G127" s="119">
        <f t="shared" si="82"/>
        <v>4.0190972222222218E-2</v>
      </c>
      <c r="H127" s="119">
        <f t="shared" si="82"/>
        <v>4.2467473823836532E-2</v>
      </c>
      <c r="I127" s="119">
        <f t="shared" si="82"/>
        <v>4.5297871699930763E-2</v>
      </c>
      <c r="J127" s="119">
        <f t="shared" si="82"/>
        <v>4.9016254601127067E-2</v>
      </c>
      <c r="K127" s="119">
        <f t="shared" si="82"/>
        <v>5.4204715332937081E-2</v>
      </c>
      <c r="L127" s="119">
        <f t="shared" si="82"/>
        <v>6.1992749145140684E-2</v>
      </c>
      <c r="M127" s="119">
        <f t="shared" si="82"/>
        <v>7.490790521704499E-2</v>
      </c>
      <c r="N127" s="119">
        <f t="shared" si="82"/>
        <v>9.111413866182258E-2</v>
      </c>
      <c r="O127" s="121"/>
    </row>
    <row r="128" spans="1:16" x14ac:dyDescent="0.25">
      <c r="A128" s="118">
        <f>Puntenberekening!$Q$17</f>
        <v>0</v>
      </c>
      <c r="B128" s="130">
        <v>11</v>
      </c>
      <c r="C128" s="119">
        <f>VLOOKUP(A121,'KAVVV Records &amp; age-grading'!$A$30:$C$55,3,FALSE)</f>
        <v>3.2152777777777773E-2</v>
      </c>
      <c r="D128" s="119">
        <f t="shared" ref="D128:N128" si="83">$C128/D122</f>
        <v>3.3530897672101129E-2</v>
      </c>
      <c r="E128" s="119">
        <f t="shared" si="83"/>
        <v>3.5101285783600188E-2</v>
      </c>
      <c r="F128" s="119">
        <f t="shared" si="83"/>
        <v>3.6788075260615304E-2</v>
      </c>
      <c r="G128" s="119">
        <f t="shared" si="83"/>
        <v>3.8645165598290593E-2</v>
      </c>
      <c r="H128" s="119">
        <f t="shared" si="83"/>
        <v>4.0834109445996664E-2</v>
      </c>
      <c r="I128" s="119">
        <f t="shared" si="83"/>
        <v>4.3555645865318036E-2</v>
      </c>
      <c r="J128" s="119">
        <f t="shared" si="83"/>
        <v>4.7131014039545255E-2</v>
      </c>
      <c r="K128" s="119">
        <f t="shared" si="83"/>
        <v>5.2119918589362574E-2</v>
      </c>
      <c r="L128" s="119">
        <f t="shared" si="83"/>
        <v>5.960841263955835E-2</v>
      </c>
      <c r="M128" s="119">
        <f t="shared" si="83"/>
        <v>7.2026831939466338E-2</v>
      </c>
      <c r="N128" s="119">
        <f t="shared" si="83"/>
        <v>8.7609748713290941E-2</v>
      </c>
      <c r="O128" s="121"/>
    </row>
    <row r="129" spans="1:16" x14ac:dyDescent="0.25">
      <c r="B129" s="129"/>
    </row>
    <row r="130" spans="1:16" x14ac:dyDescent="0.25">
      <c r="A130" t="s">
        <v>306</v>
      </c>
      <c r="B130" s="129"/>
      <c r="C130" s="15" t="s">
        <v>243</v>
      </c>
      <c r="D130" s="15" t="s">
        <v>233</v>
      </c>
      <c r="E130" s="15" t="s">
        <v>232</v>
      </c>
      <c r="F130" s="15" t="s">
        <v>234</v>
      </c>
      <c r="G130" s="15" t="s">
        <v>235</v>
      </c>
      <c r="H130" s="15" t="s">
        <v>236</v>
      </c>
      <c r="I130" s="15" t="s">
        <v>237</v>
      </c>
      <c r="J130" s="15" t="s">
        <v>238</v>
      </c>
      <c r="K130" s="15" t="s">
        <v>239</v>
      </c>
      <c r="L130" s="15" t="s">
        <v>240</v>
      </c>
      <c r="M130" s="15" t="s">
        <v>241</v>
      </c>
      <c r="N130" s="15" t="s">
        <v>242</v>
      </c>
    </row>
    <row r="131" spans="1:16" ht="14.4" x14ac:dyDescent="0.3">
      <c r="C131" s="123"/>
      <c r="D131" s="124">
        <f>VLOOKUP($A130,'KAVVV Records &amp; age-grading'!$A$30:$AF$55,20,FALSE)</f>
        <v>1.1834</v>
      </c>
      <c r="E131" s="124">
        <f>VLOOKUP($A130,'KAVVV Records &amp; age-grading'!$A$30:$AF$55,21,FALSE)</f>
        <v>1.0913999999999999</v>
      </c>
      <c r="F131" s="124">
        <f>VLOOKUP($A130,'KAVVV Records &amp; age-grading'!$A$30:$AF$55,22,FALSE)</f>
        <v>1.0964</v>
      </c>
      <c r="G131" s="124">
        <f>VLOOKUP($A130,'KAVVV Records &amp; age-grading'!$A$30:$AF$55,23,FALSE)</f>
        <v>1.00444</v>
      </c>
      <c r="H131" s="124">
        <f>VLOOKUP($A130,'KAVVV Records &amp; age-grading'!$A$30:$AF$55,24,FALSE)</f>
        <v>0.99239999999999995</v>
      </c>
      <c r="I131" s="124">
        <f>VLOOKUP($A130,'KAVVV Records &amp; age-grading'!$A$30:$AF$55,25,FALSE)</f>
        <v>0.90039999999999998</v>
      </c>
      <c r="J131" s="124">
        <f>VLOOKUP($A130,'KAVVV Records &amp; age-grading'!$A$30:$AF$55,26,FALSE)</f>
        <v>0.80840000000000001</v>
      </c>
      <c r="K131" s="124">
        <f>VLOOKUP($A130,'KAVVV Records &amp; age-grading'!$A$30:$AF$55,27,FALSE)</f>
        <v>0.71140000000000003</v>
      </c>
      <c r="L131" s="124">
        <f>VLOOKUP($A130,'KAVVV Records &amp; age-grading'!$A$30:$AF$55,28,FALSE)</f>
        <v>0.59460000000000002</v>
      </c>
      <c r="M131" s="124">
        <f>VLOOKUP($A130,'KAVVV Records &amp; age-grading'!$A$30:$AF$55,29,FALSE)</f>
        <v>0.43909999999999999</v>
      </c>
      <c r="N131" s="124">
        <f>VLOOKUP($A130,'KAVVV Records &amp; age-grading'!$A$30:$AF$55,30,FALSE)</f>
        <v>0.22090000000000001</v>
      </c>
      <c r="O131" s="124"/>
      <c r="P131" s="124"/>
    </row>
    <row r="132" spans="1:16" x14ac:dyDescent="0.25">
      <c r="A132" s="118">
        <f>Puntenberekening!$Q$22</f>
        <v>0.3</v>
      </c>
      <c r="B132" s="130">
        <v>6</v>
      </c>
      <c r="C132" s="120">
        <f>C137*(1+$A132)</f>
        <v>2.4525462962962966E-4</v>
      </c>
      <c r="D132" s="121">
        <f t="shared" ref="D132:N132" si="84">$C132/D131</f>
        <v>2.0724575767249422E-4</v>
      </c>
      <c r="E132" s="121">
        <f t="shared" si="84"/>
        <v>2.2471562179735173E-4</v>
      </c>
      <c r="F132" s="121">
        <f t="shared" si="84"/>
        <v>2.2369083329955275E-4</v>
      </c>
      <c r="G132" s="121">
        <f t="shared" si="84"/>
        <v>2.4417051255389038E-4</v>
      </c>
      <c r="H132" s="121">
        <f t="shared" si="84"/>
        <v>2.4713283920760749E-4</v>
      </c>
      <c r="I132" s="121">
        <f t="shared" si="84"/>
        <v>2.7238408443983747E-4</v>
      </c>
      <c r="J132" s="121">
        <f t="shared" si="84"/>
        <v>3.0338276797331725E-4</v>
      </c>
      <c r="K132" s="121">
        <f t="shared" si="84"/>
        <v>3.447492685263279E-4</v>
      </c>
      <c r="L132" s="121">
        <f t="shared" si="84"/>
        <v>4.1246994555941749E-4</v>
      </c>
      <c r="M132" s="121">
        <f t="shared" si="84"/>
        <v>5.5853935237902455E-4</v>
      </c>
      <c r="N132" s="121">
        <f t="shared" si="84"/>
        <v>1.1102518317321396E-3</v>
      </c>
    </row>
    <row r="133" spans="1:16" x14ac:dyDescent="0.25">
      <c r="A133" s="118">
        <f>Puntenberekening!$Q$21</f>
        <v>0.22</v>
      </c>
      <c r="B133" s="130">
        <v>7</v>
      </c>
      <c r="C133" s="120">
        <f>C137*(1+$A133)</f>
        <v>2.3016203703703705E-4</v>
      </c>
      <c r="D133" s="121">
        <f t="shared" ref="D133:N133" si="85">$C133/D131</f>
        <v>1.9449217258495609E-4</v>
      </c>
      <c r="E133" s="121">
        <f t="shared" si="85"/>
        <v>2.1088696814828393E-4</v>
      </c>
      <c r="F133" s="121">
        <f t="shared" si="85"/>
        <v>2.0992524355804181E-4</v>
      </c>
      <c r="G133" s="121">
        <f t="shared" si="85"/>
        <v>2.2914463485826635E-4</v>
      </c>
      <c r="H133" s="121">
        <f t="shared" si="85"/>
        <v>2.3192466448713933E-4</v>
      </c>
      <c r="I133" s="121">
        <f t="shared" si="85"/>
        <v>2.5562198693584748E-4</v>
      </c>
      <c r="J133" s="121">
        <f t="shared" si="85"/>
        <v>2.8471305917495923E-4</v>
      </c>
      <c r="K133" s="121">
        <f t="shared" si="85"/>
        <v>3.235339289247077E-4</v>
      </c>
      <c r="L133" s="121">
        <f t="shared" si="85"/>
        <v>3.8708717967883793E-4</v>
      </c>
      <c r="M133" s="121">
        <f t="shared" si="85"/>
        <v>5.241676999249307E-4</v>
      </c>
      <c r="N133" s="121">
        <f t="shared" si="85"/>
        <v>1.0419286420870848E-3</v>
      </c>
    </row>
    <row r="134" spans="1:16" x14ac:dyDescent="0.25">
      <c r="A134" s="118">
        <f>Puntenberekening!$Q$20</f>
        <v>0.15</v>
      </c>
      <c r="B134" s="130">
        <v>8</v>
      </c>
      <c r="C134" s="120">
        <f>C137*(1+$A134)</f>
        <v>2.1695601851851853E-4</v>
      </c>
      <c r="D134" s="121">
        <f t="shared" ref="D134:N134" si="86">$C134/D131</f>
        <v>1.8333278563336026E-4</v>
      </c>
      <c r="E134" s="121">
        <f t="shared" si="86"/>
        <v>1.987868962053496E-4</v>
      </c>
      <c r="F134" s="121">
        <f t="shared" si="86"/>
        <v>1.9788035253421975E-4</v>
      </c>
      <c r="G134" s="121">
        <f t="shared" si="86"/>
        <v>2.1599699187459533E-4</v>
      </c>
      <c r="H134" s="121">
        <f t="shared" si="86"/>
        <v>2.1861751160672969E-4</v>
      </c>
      <c r="I134" s="121">
        <f t="shared" si="86"/>
        <v>2.4095515161985621E-4</v>
      </c>
      <c r="J134" s="121">
        <f t="shared" si="86"/>
        <v>2.6837706397639599E-4</v>
      </c>
      <c r="K134" s="121">
        <f t="shared" si="86"/>
        <v>3.0497050677329E-4</v>
      </c>
      <c r="L134" s="121">
        <f t="shared" si="86"/>
        <v>3.6487725953333086E-4</v>
      </c>
      <c r="M134" s="121">
        <f t="shared" si="86"/>
        <v>4.9409250402759853E-4</v>
      </c>
      <c r="N134" s="121">
        <f t="shared" si="86"/>
        <v>9.8214585114766192E-4</v>
      </c>
    </row>
    <row r="135" spans="1:16" x14ac:dyDescent="0.25">
      <c r="A135" s="118">
        <f>Puntenberekening!$Q$19</f>
        <v>0.09</v>
      </c>
      <c r="B135" s="130">
        <v>9</v>
      </c>
      <c r="C135" s="120">
        <f>C137*(1+$A135)</f>
        <v>2.0563657407407412E-4</v>
      </c>
      <c r="D135" s="121">
        <f t="shared" ref="D135:N135" si="87">$C135/D131</f>
        <v>1.7376759681770671E-4</v>
      </c>
      <c r="E135" s="121">
        <f t="shared" si="87"/>
        <v>1.8841540596854878E-4</v>
      </c>
      <c r="F135" s="121">
        <f t="shared" si="87"/>
        <v>1.8755616022808657E-4</v>
      </c>
      <c r="G135" s="121">
        <f t="shared" si="87"/>
        <v>2.0472758360287735E-4</v>
      </c>
      <c r="H135" s="121">
        <f t="shared" si="87"/>
        <v>2.072113805663786E-4</v>
      </c>
      <c r="I135" s="121">
        <f t="shared" si="87"/>
        <v>2.2838357849186376E-4</v>
      </c>
      <c r="J135" s="121">
        <f t="shared" si="87"/>
        <v>2.5437478237762756E-4</v>
      </c>
      <c r="K135" s="121">
        <f t="shared" si="87"/>
        <v>2.8905900207207492E-4</v>
      </c>
      <c r="L135" s="121">
        <f t="shared" si="87"/>
        <v>3.4584018512289627E-4</v>
      </c>
      <c r="M135" s="121">
        <f t="shared" si="87"/>
        <v>4.6831376468702831E-4</v>
      </c>
      <c r="N135" s="121">
        <f t="shared" si="87"/>
        <v>9.3090345891387106E-4</v>
      </c>
    </row>
    <row r="136" spans="1:16" x14ac:dyDescent="0.25">
      <c r="A136" s="118">
        <f>Puntenberekening!$Q$18</f>
        <v>0.04</v>
      </c>
      <c r="B136" s="130">
        <v>10</v>
      </c>
      <c r="C136" s="120">
        <f>C137*(1+$A136)</f>
        <v>1.9620370370370373E-4</v>
      </c>
      <c r="D136" s="121">
        <f t="shared" ref="D136:N136" si="88">$C136/D131</f>
        <v>1.6579660613799538E-4</v>
      </c>
      <c r="E136" s="121">
        <f t="shared" si="88"/>
        <v>1.7977249743788139E-4</v>
      </c>
      <c r="F136" s="121">
        <f t="shared" si="88"/>
        <v>1.7895266663964221E-4</v>
      </c>
      <c r="G136" s="121">
        <f t="shared" si="88"/>
        <v>1.9533641004311231E-4</v>
      </c>
      <c r="H136" s="121">
        <f t="shared" si="88"/>
        <v>1.9770627136608598E-4</v>
      </c>
      <c r="I136" s="121">
        <f t="shared" si="88"/>
        <v>2.1790726755186997E-4</v>
      </c>
      <c r="J136" s="121">
        <f t="shared" si="88"/>
        <v>2.427062143786538E-4</v>
      </c>
      <c r="K136" s="121">
        <f t="shared" si="88"/>
        <v>2.7579941482106229E-4</v>
      </c>
      <c r="L136" s="121">
        <f t="shared" si="88"/>
        <v>3.29975956447534E-4</v>
      </c>
      <c r="M136" s="121">
        <f t="shared" si="88"/>
        <v>4.468314819032196E-4</v>
      </c>
      <c r="N136" s="121">
        <f t="shared" si="88"/>
        <v>8.8820146538571166E-4</v>
      </c>
    </row>
    <row r="137" spans="1:16" x14ac:dyDescent="0.25">
      <c r="A137" s="118">
        <f>Puntenberekening!$Q$17</f>
        <v>0</v>
      </c>
      <c r="B137" s="130">
        <v>11</v>
      </c>
      <c r="C137" s="123">
        <f>VLOOKUP(A130,'KAVVV Records &amp; age-grading'!$A$30:$C$55,3,FALSE)</f>
        <v>1.8865740740740743E-4</v>
      </c>
      <c r="D137" s="121">
        <f t="shared" ref="D137:N137" si="89">$C137/D131</f>
        <v>1.5941981359422633E-4</v>
      </c>
      <c r="E137" s="121">
        <f t="shared" si="89"/>
        <v>1.728581706133475E-4</v>
      </c>
      <c r="F137" s="121">
        <f t="shared" si="89"/>
        <v>1.7206987176888674E-4</v>
      </c>
      <c r="G137" s="121">
        <f t="shared" si="89"/>
        <v>1.878234711953003E-4</v>
      </c>
      <c r="H137" s="121">
        <f t="shared" si="89"/>
        <v>1.9010218400585191E-4</v>
      </c>
      <c r="I137" s="121">
        <f t="shared" si="89"/>
        <v>2.0952621879987497E-4</v>
      </c>
      <c r="J137" s="121">
        <f t="shared" si="89"/>
        <v>2.3337135997947479E-4</v>
      </c>
      <c r="K137" s="121">
        <f t="shared" si="89"/>
        <v>2.6519174502025221E-4</v>
      </c>
      <c r="L137" s="121">
        <f t="shared" si="89"/>
        <v>3.1728457350724422E-4</v>
      </c>
      <c r="M137" s="121">
        <f t="shared" si="89"/>
        <v>4.2964565567617268E-4</v>
      </c>
      <c r="N137" s="121">
        <f t="shared" si="89"/>
        <v>8.5403987056318438E-4</v>
      </c>
    </row>
    <row r="138" spans="1:16" x14ac:dyDescent="0.25">
      <c r="B138" s="129"/>
    </row>
    <row r="139" spans="1:16" x14ac:dyDescent="0.25">
      <c r="A139" t="s">
        <v>286</v>
      </c>
      <c r="B139" s="129"/>
      <c r="C139" s="15" t="s">
        <v>243</v>
      </c>
      <c r="D139" s="15" t="s">
        <v>233</v>
      </c>
      <c r="E139" s="15" t="s">
        <v>232</v>
      </c>
      <c r="F139" s="15" t="s">
        <v>234</v>
      </c>
      <c r="G139" s="15" t="s">
        <v>235</v>
      </c>
      <c r="H139" s="15" t="s">
        <v>236</v>
      </c>
      <c r="I139" s="15" t="s">
        <v>237</v>
      </c>
      <c r="J139" s="15" t="s">
        <v>238</v>
      </c>
      <c r="K139" s="15" t="s">
        <v>239</v>
      </c>
      <c r="L139" s="15" t="s">
        <v>240</v>
      </c>
      <c r="M139" s="15" t="s">
        <v>241</v>
      </c>
      <c r="N139" s="15" t="s">
        <v>242</v>
      </c>
    </row>
    <row r="140" spans="1:16" ht="14.4" x14ac:dyDescent="0.3">
      <c r="C140" s="123"/>
      <c r="D140" s="124">
        <f>VLOOKUP($A139,'KAVVV Records &amp; age-grading'!$A$30:$AF$55,20,FALSE)</f>
        <v>0.93420000000000003</v>
      </c>
      <c r="E140" s="124">
        <f>VLOOKUP($A139,'KAVVV Records &amp; age-grading'!$A$30:$AF$55,21,FALSE)</f>
        <v>0.8982</v>
      </c>
      <c r="F140" s="124">
        <f>VLOOKUP($A139,'KAVVV Records &amp; age-grading'!$A$30:$AF$55,22,FALSE)</f>
        <v>0.86219999999999997</v>
      </c>
      <c r="G140" s="124">
        <f>VLOOKUP($A139,'KAVVV Records &amp; age-grading'!$A$30:$AF$55,23,FALSE)</f>
        <v>0.82620000000000005</v>
      </c>
      <c r="H140" s="124">
        <f>VLOOKUP($A139,'KAVVV Records &amp; age-grading'!$A$30:$AF$55,24,FALSE)</f>
        <v>0.79020000000000001</v>
      </c>
      <c r="I140" s="124">
        <f>VLOOKUP($A139,'KAVVV Records &amp; age-grading'!$A$30:$AF$55,25,FALSE)</f>
        <v>0.75419999999999998</v>
      </c>
      <c r="J140" s="124">
        <f>VLOOKUP($A139,'KAVVV Records &amp; age-grading'!$A$30:$AF$55,26,FALSE)</f>
        <v>0.70679999999999998</v>
      </c>
      <c r="K140" s="124">
        <f>VLOOKUP($A139,'KAVVV Records &amp; age-grading'!$A$30:$AF$55,27,FALSE)</f>
        <v>0.65449999999999997</v>
      </c>
      <c r="L140" s="124">
        <f>VLOOKUP($A139,'KAVVV Records &amp; age-grading'!$A$30:$AF$55,28,FALSE)</f>
        <v>0.5857</v>
      </c>
      <c r="M140" s="124">
        <f>VLOOKUP($A139,'KAVVV Records &amp; age-grading'!$A$30:$AF$55,29,FALSE)</f>
        <v>0.49320000000000003</v>
      </c>
      <c r="N140" s="124">
        <f>VLOOKUP($A139,'KAVVV Records &amp; age-grading'!$A$30:$AF$55,30,FALSE)</f>
        <v>0.36</v>
      </c>
      <c r="O140" s="124"/>
      <c r="P140" s="124"/>
    </row>
    <row r="141" spans="1:16" x14ac:dyDescent="0.25">
      <c r="A141" s="118">
        <f>Puntenberekening!$Q$22</f>
        <v>0.3</v>
      </c>
      <c r="B141" s="130">
        <v>6</v>
      </c>
      <c r="C141" s="120">
        <f>C146*(1+$A141)</f>
        <v>4.9667824074074067E-4</v>
      </c>
      <c r="D141" s="121">
        <f t="shared" ref="D141:N141" si="90">$C141/D140</f>
        <v>5.3166157219090198E-4</v>
      </c>
      <c r="E141" s="121">
        <f t="shared" si="90"/>
        <v>5.5297065324063754E-4</v>
      </c>
      <c r="F141" s="121">
        <f t="shared" si="90"/>
        <v>5.7605919826112352E-4</v>
      </c>
      <c r="G141" s="121">
        <f t="shared" si="90"/>
        <v>6.011598169217389E-4</v>
      </c>
      <c r="H141" s="121">
        <f t="shared" si="90"/>
        <v>6.285475078976723E-4</v>
      </c>
      <c r="I141" s="121">
        <f t="shared" si="90"/>
        <v>6.5854977557775222E-4</v>
      </c>
      <c r="J141" s="122">
        <f t="shared" si="90"/>
        <v>7.0271397954264382E-4</v>
      </c>
      <c r="K141" s="122">
        <f t="shared" si="90"/>
        <v>7.5886667798432501E-4</v>
      </c>
      <c r="L141" s="122">
        <f t="shared" si="90"/>
        <v>8.4800792340915254E-4</v>
      </c>
      <c r="M141" s="122">
        <f t="shared" si="90"/>
        <v>1.0070523940404312E-3</v>
      </c>
      <c r="N141" s="122">
        <f t="shared" si="90"/>
        <v>1.3796617798353908E-3</v>
      </c>
    </row>
    <row r="142" spans="1:16" x14ac:dyDescent="0.25">
      <c r="A142" s="118">
        <f>Puntenberekening!$Q$21</f>
        <v>0.22</v>
      </c>
      <c r="B142" s="130">
        <v>7</v>
      </c>
      <c r="C142" s="120">
        <f>C146*(1+$A142)</f>
        <v>4.6611342592592586E-4</v>
      </c>
      <c r="D142" s="121">
        <f t="shared" ref="D142:N142" si="91">$C142/D140</f>
        <v>4.9894393697915416E-4</v>
      </c>
      <c r="E142" s="121">
        <f t="shared" si="91"/>
        <v>5.1894168996429065E-4</v>
      </c>
      <c r="F142" s="121">
        <f t="shared" si="91"/>
        <v>5.4060940144505434E-4</v>
      </c>
      <c r="G142" s="121">
        <f t="shared" si="91"/>
        <v>5.6416536664963182E-4</v>
      </c>
      <c r="H142" s="121">
        <f t="shared" si="91"/>
        <v>5.8986766125781554E-4</v>
      </c>
      <c r="I142" s="121">
        <f t="shared" si="91"/>
        <v>6.1802363554219818E-4</v>
      </c>
      <c r="J142" s="122">
        <f t="shared" si="91"/>
        <v>6.5947004234001962E-4</v>
      </c>
      <c r="K142" s="122">
        <f t="shared" si="91"/>
        <v>7.1216719010836654E-4</v>
      </c>
      <c r="L142" s="122">
        <f t="shared" si="91"/>
        <v>7.9582282043012787E-4</v>
      </c>
      <c r="M142" s="122">
        <f t="shared" si="91"/>
        <v>9.4507993902255842E-4</v>
      </c>
      <c r="N142" s="122">
        <f t="shared" si="91"/>
        <v>1.2947595164609052E-3</v>
      </c>
    </row>
    <row r="143" spans="1:16" x14ac:dyDescent="0.25">
      <c r="A143" s="118">
        <f>Puntenberekening!$Q$20</f>
        <v>0.15</v>
      </c>
      <c r="B143" s="130">
        <v>8</v>
      </c>
      <c r="C143" s="120">
        <f>C146*(1+$A143)</f>
        <v>4.3936921296296291E-4</v>
      </c>
      <c r="D143" s="121">
        <f t="shared" ref="D143:N143" si="92">$C143/D140</f>
        <v>4.7031600616887485E-4</v>
      </c>
      <c r="E143" s="121">
        <f t="shared" si="92"/>
        <v>4.8916634709748712E-4</v>
      </c>
      <c r="F143" s="121">
        <f t="shared" si="92"/>
        <v>5.0959082923099385E-4</v>
      </c>
      <c r="G143" s="121">
        <f t="shared" si="92"/>
        <v>5.3179522266153824E-4</v>
      </c>
      <c r="H143" s="121">
        <f t="shared" si="92"/>
        <v>5.560227954479409E-4</v>
      </c>
      <c r="I143" s="121">
        <f t="shared" si="92"/>
        <v>5.8256326301108852E-4</v>
      </c>
      <c r="J143" s="122">
        <f t="shared" si="92"/>
        <v>6.2163159728772339E-4</v>
      </c>
      <c r="K143" s="122">
        <f t="shared" si="92"/>
        <v>6.7130513821690285E-4</v>
      </c>
      <c r="L143" s="122">
        <f t="shared" si="92"/>
        <v>7.5016085532348114E-4</v>
      </c>
      <c r="M143" s="122">
        <f t="shared" si="92"/>
        <v>8.9085404088191987E-4</v>
      </c>
      <c r="N143" s="122">
        <f t="shared" si="92"/>
        <v>1.2204700360082304E-3</v>
      </c>
    </row>
    <row r="144" spans="1:16" x14ac:dyDescent="0.25">
      <c r="A144" s="118">
        <f>Puntenberekening!$Q$19</f>
        <v>0.09</v>
      </c>
      <c r="B144" s="130">
        <v>9</v>
      </c>
      <c r="C144" s="120">
        <f>C146*(1+$A144)</f>
        <v>4.1644560185185182E-4</v>
      </c>
      <c r="D144" s="121">
        <f t="shared" ref="D144:N144" si="93">$C144/D140</f>
        <v>4.4577777976006404E-4</v>
      </c>
      <c r="E144" s="121">
        <f t="shared" si="93"/>
        <v>4.6364462464022689E-4</v>
      </c>
      <c r="F144" s="121">
        <f t="shared" si="93"/>
        <v>4.8300348161894207E-4</v>
      </c>
      <c r="G144" s="121">
        <f t="shared" si="93"/>
        <v>5.0404938495745796E-4</v>
      </c>
      <c r="H144" s="121">
        <f t="shared" si="93"/>
        <v>5.2701291046804838E-4</v>
      </c>
      <c r="I144" s="121">
        <f t="shared" si="93"/>
        <v>5.5216865798442304E-4</v>
      </c>
      <c r="J144" s="122">
        <f t="shared" si="93"/>
        <v>5.8919864438575524E-4</v>
      </c>
      <c r="K144" s="122">
        <f t="shared" si="93"/>
        <v>6.3628052230993405E-4</v>
      </c>
      <c r="L144" s="122">
        <f t="shared" si="93"/>
        <v>7.1102202808921255E-4</v>
      </c>
      <c r="M144" s="122">
        <f t="shared" si="93"/>
        <v>8.4437469961851541E-4</v>
      </c>
      <c r="N144" s="122">
        <f t="shared" si="93"/>
        <v>1.1567933384773663E-3</v>
      </c>
    </row>
    <row r="145" spans="1:16" x14ac:dyDescent="0.25">
      <c r="A145" s="118">
        <f>Puntenberekening!$Q$18</f>
        <v>0.04</v>
      </c>
      <c r="B145" s="130">
        <v>10</v>
      </c>
      <c r="C145" s="120">
        <f>C146*(1+$A145)</f>
        <v>3.9734259259259258E-4</v>
      </c>
      <c r="D145" s="121">
        <f t="shared" ref="D145:N145" si="94">$C145/D140</f>
        <v>4.2532925775272168E-4</v>
      </c>
      <c r="E145" s="121">
        <f t="shared" si="94"/>
        <v>4.4237652259251009E-4</v>
      </c>
      <c r="F145" s="121">
        <f t="shared" si="94"/>
        <v>4.6084735860889888E-4</v>
      </c>
      <c r="G145" s="121">
        <f t="shared" si="94"/>
        <v>4.8092785353739113E-4</v>
      </c>
      <c r="H145" s="121">
        <f t="shared" si="94"/>
        <v>5.0283800631813788E-4</v>
      </c>
      <c r="I145" s="121">
        <f t="shared" si="94"/>
        <v>5.2683982046220184E-4</v>
      </c>
      <c r="J145" s="122">
        <f t="shared" si="94"/>
        <v>5.6217118363411517E-4</v>
      </c>
      <c r="K145" s="122">
        <f t="shared" si="94"/>
        <v>6.0709334238746003E-4</v>
      </c>
      <c r="L145" s="122">
        <f t="shared" si="94"/>
        <v>6.7840633872732212E-4</v>
      </c>
      <c r="M145" s="122">
        <f t="shared" si="94"/>
        <v>8.0564191523234505E-4</v>
      </c>
      <c r="N145" s="122">
        <f t="shared" si="94"/>
        <v>1.1037294238683128E-3</v>
      </c>
    </row>
    <row r="146" spans="1:16" x14ac:dyDescent="0.25">
      <c r="A146" s="118">
        <f>Puntenberekening!$Q$17</f>
        <v>0</v>
      </c>
      <c r="B146" s="130">
        <v>11</v>
      </c>
      <c r="C146" s="123">
        <f>VLOOKUP(A139,'KAVVV Records &amp; age-grading'!$A$30:$C$55,3,FALSE)</f>
        <v>3.8206018518518515E-4</v>
      </c>
      <c r="D146" s="121">
        <f t="shared" ref="D146:N146" si="95">$C146/D140</f>
        <v>4.0897044014684772E-4</v>
      </c>
      <c r="E146" s="121">
        <f t="shared" si="95"/>
        <v>4.2536204095433664E-4</v>
      </c>
      <c r="F146" s="121">
        <f t="shared" si="95"/>
        <v>4.4312246020086424E-4</v>
      </c>
      <c r="G146" s="121">
        <f t="shared" si="95"/>
        <v>4.6243062840133759E-4</v>
      </c>
      <c r="H146" s="121">
        <f t="shared" si="95"/>
        <v>4.834980829982095E-4</v>
      </c>
      <c r="I146" s="121">
        <f t="shared" si="95"/>
        <v>5.0657675044442482E-4</v>
      </c>
      <c r="J146" s="122">
        <f t="shared" si="95"/>
        <v>5.4054921503280296E-4</v>
      </c>
      <c r="K146" s="122">
        <f t="shared" si="95"/>
        <v>5.8374359844948079E-4</v>
      </c>
      <c r="L146" s="122">
        <f t="shared" si="95"/>
        <v>6.5231378723780973E-4</v>
      </c>
      <c r="M146" s="122">
        <f t="shared" si="95"/>
        <v>7.7465568772340856E-4</v>
      </c>
      <c r="N146" s="122">
        <f t="shared" si="95"/>
        <v>1.0612782921810698E-3</v>
      </c>
    </row>
    <row r="147" spans="1:16" x14ac:dyDescent="0.25">
      <c r="B147" s="129"/>
    </row>
    <row r="148" spans="1:16" x14ac:dyDescent="0.25">
      <c r="A148" t="s">
        <v>349</v>
      </c>
      <c r="B148" s="129"/>
      <c r="C148" s="15" t="s">
        <v>243</v>
      </c>
      <c r="D148" s="15" t="s">
        <v>233</v>
      </c>
      <c r="E148" s="15" t="s">
        <v>232</v>
      </c>
      <c r="F148" s="15" t="s">
        <v>234</v>
      </c>
      <c r="G148" s="15" t="s">
        <v>235</v>
      </c>
      <c r="H148" s="15" t="s">
        <v>236</v>
      </c>
      <c r="I148" s="15" t="s">
        <v>237</v>
      </c>
      <c r="J148" s="15" t="s">
        <v>238</v>
      </c>
      <c r="K148" s="15" t="s">
        <v>239</v>
      </c>
      <c r="L148" s="15" t="s">
        <v>240</v>
      </c>
      <c r="M148" s="15" t="s">
        <v>241</v>
      </c>
      <c r="N148" s="15" t="s">
        <v>242</v>
      </c>
    </row>
    <row r="149" spans="1:16" ht="14.4" x14ac:dyDescent="0.3">
      <c r="C149" s="123"/>
      <c r="D149" s="124">
        <f>VLOOKUP($A148,'KAVVV Records &amp; age-grading'!$A$30:$AF$55,20,FALSE)</f>
        <v>0.93379999999999996</v>
      </c>
      <c r="E149" s="124">
        <f>VLOOKUP($A148,'KAVVV Records &amp; age-grading'!$A$30:$AF$55,21,FALSE)</f>
        <v>0.85680000000000001</v>
      </c>
      <c r="F149" s="124">
        <f>VLOOKUP($A148,'KAVVV Records &amp; age-grading'!$A$30:$AF$55,22,FALSE)</f>
        <v>1.2138</v>
      </c>
      <c r="G149" s="124">
        <f>VLOOKUP($A148,'KAVVV Records &amp; age-grading'!$A$30:$AF$55,23,FALSE)</f>
        <v>1.1388</v>
      </c>
      <c r="H149" s="124">
        <f>VLOOKUP($A148,'KAVVV Records &amp; age-grading'!$A$30:$AF$55,24,FALSE)</f>
        <v>1.0582</v>
      </c>
      <c r="I149" s="124">
        <f>VLOOKUP($A148,'KAVVV Records &amp; age-grading'!$A$30:$AF$55,25,FALSE)</f>
        <v>0.96819999999999995</v>
      </c>
      <c r="J149" s="124">
        <f>VLOOKUP($A148,'KAVVV Records &amp; age-grading'!$A$30:$AF$55,26,FALSE)</f>
        <v>0.86119999999999997</v>
      </c>
      <c r="K149" s="124">
        <f>VLOOKUP($A148,'KAVVV Records &amp; age-grading'!$A$30:$AF$55,27,FALSE)</f>
        <v>0.72199999999999998</v>
      </c>
      <c r="L149" s="124">
        <f>VLOOKUP($A148,'KAVVV Records &amp; age-grading'!$A$30:$AF$55,28,FALSE)</f>
        <v>0</v>
      </c>
      <c r="M149" s="124">
        <f>VLOOKUP($A148,'KAVVV Records &amp; age-grading'!$A$30:$AF$55,29,FALSE)</f>
        <v>0</v>
      </c>
      <c r="N149" s="124">
        <f>VLOOKUP($A148,'KAVVV Records &amp; age-grading'!$A$30:$AF$55,30,FALSE)</f>
        <v>0</v>
      </c>
      <c r="O149" s="124"/>
      <c r="P149" s="124"/>
    </row>
    <row r="150" spans="1:16" x14ac:dyDescent="0.25">
      <c r="A150" s="118">
        <f>Puntenberekening!$Q$22</f>
        <v>0.3</v>
      </c>
      <c r="B150" s="130">
        <v>6</v>
      </c>
      <c r="C150" s="122">
        <f>C155*(1+$A150)</f>
        <v>1.0248032407407408E-3</v>
      </c>
      <c r="D150" s="122">
        <f t="shared" ref="D150:K150" si="96">$C150/D149</f>
        <v>1.0974547448497974E-3</v>
      </c>
      <c r="E150" s="122">
        <f t="shared" si="96"/>
        <v>1.1960822137496974E-3</v>
      </c>
      <c r="F150" s="122">
        <f t="shared" si="96"/>
        <v>8.4429332735272769E-4</v>
      </c>
      <c r="G150" s="122">
        <f t="shared" si="96"/>
        <v>8.9989747167258584E-4</v>
      </c>
      <c r="H150" s="122">
        <f t="shared" si="96"/>
        <v>9.6844003094003102E-4</v>
      </c>
      <c r="I150" s="122">
        <f t="shared" si="96"/>
        <v>1.058462343256291E-3</v>
      </c>
      <c r="J150" s="122">
        <f t="shared" si="96"/>
        <v>1.1899712502795412E-3</v>
      </c>
      <c r="K150" s="122">
        <f t="shared" si="96"/>
        <v>1.4193950702780344E-3</v>
      </c>
      <c r="L150" s="121"/>
      <c r="M150" s="121"/>
      <c r="N150" s="121"/>
    </row>
    <row r="151" spans="1:16" x14ac:dyDescent="0.25">
      <c r="A151" s="118">
        <f>Puntenberekening!$Q$21</f>
        <v>0.22</v>
      </c>
      <c r="B151" s="130">
        <v>7</v>
      </c>
      <c r="C151" s="122">
        <f>C155*(1+$A151)</f>
        <v>9.6173842592592589E-4</v>
      </c>
      <c r="D151" s="122">
        <f t="shared" ref="D151:K151" si="97">$C151/D149</f>
        <v>1.029919068243656E-3</v>
      </c>
      <c r="E151" s="122">
        <f t="shared" si="97"/>
        <v>1.1224771544420236E-3</v>
      </c>
      <c r="F151" s="122">
        <f t="shared" si="97"/>
        <v>7.9233681490025203E-4</v>
      </c>
      <c r="G151" s="122">
        <f t="shared" si="97"/>
        <v>8.4451916572350356E-4</v>
      </c>
      <c r="H151" s="122">
        <f t="shared" si="97"/>
        <v>9.088437213437213E-4</v>
      </c>
      <c r="I151" s="122">
        <f t="shared" si="97"/>
        <v>9.9332619905590359E-4</v>
      </c>
      <c r="J151" s="122">
        <f t="shared" si="97"/>
        <v>1.1167422502623384E-3</v>
      </c>
      <c r="K151" s="122">
        <f t="shared" si="97"/>
        <v>1.3320476813378475E-3</v>
      </c>
      <c r="L151" s="121"/>
      <c r="M151" s="121"/>
      <c r="N151" s="121"/>
    </row>
    <row r="152" spans="1:16" x14ac:dyDescent="0.25">
      <c r="A152" s="118">
        <f>Puntenberekening!$Q$20</f>
        <v>0.15</v>
      </c>
      <c r="B152" s="130">
        <v>8</v>
      </c>
      <c r="C152" s="122">
        <f>C155*(1+$A152)</f>
        <v>9.0655671296296285E-4</v>
      </c>
      <c r="D152" s="122">
        <f t="shared" ref="D152:K152" si="98">$C152/D149</f>
        <v>9.7082535121328212E-4</v>
      </c>
      <c r="E152" s="122">
        <f t="shared" si="98"/>
        <v>1.0580727275478091E-3</v>
      </c>
      <c r="F152" s="122">
        <f t="shared" si="98"/>
        <v>7.4687486650433586E-4</v>
      </c>
      <c r="G152" s="122">
        <f t="shared" si="98"/>
        <v>7.9606314801805654E-4</v>
      </c>
      <c r="H152" s="122">
        <f t="shared" si="98"/>
        <v>8.5669695044695031E-4</v>
      </c>
      <c r="I152" s="122">
        <f t="shared" si="98"/>
        <v>9.3633207288056487E-4</v>
      </c>
      <c r="J152" s="122">
        <f t="shared" si="98"/>
        <v>1.0526668752472862E-3</v>
      </c>
      <c r="K152" s="122">
        <f t="shared" si="98"/>
        <v>1.255618716015184E-3</v>
      </c>
      <c r="L152" s="121"/>
      <c r="M152" s="121"/>
      <c r="N152" s="121"/>
    </row>
    <row r="153" spans="1:16" x14ac:dyDescent="0.25">
      <c r="A153" s="118">
        <f>Puntenberekening!$Q$19</f>
        <v>0.09</v>
      </c>
      <c r="B153" s="130">
        <v>9</v>
      </c>
      <c r="C153" s="122">
        <f>C155*(1+$A153)</f>
        <v>8.5925810185185194E-4</v>
      </c>
      <c r="D153" s="122">
        <f t="shared" ref="D153:K153" si="99">$C153/D149</f>
        <v>9.2017359375867638E-4</v>
      </c>
      <c r="E153" s="122">
        <f t="shared" si="99"/>
        <v>1.002868933067054E-3</v>
      </c>
      <c r="F153" s="122">
        <f t="shared" si="99"/>
        <v>7.0790748216497941E-4</v>
      </c>
      <c r="G153" s="122">
        <f t="shared" si="99"/>
        <v>7.545294185562451E-4</v>
      </c>
      <c r="H153" s="122">
        <f t="shared" si="99"/>
        <v>8.1199971824971826E-4</v>
      </c>
      <c r="I153" s="122">
        <f t="shared" si="99"/>
        <v>8.8747996473027477E-4</v>
      </c>
      <c r="J153" s="122">
        <f t="shared" si="99"/>
        <v>9.9774512523438446E-4</v>
      </c>
      <c r="K153" s="122">
        <f t="shared" si="99"/>
        <v>1.1901081743100443E-3</v>
      </c>
      <c r="L153" s="121"/>
      <c r="M153" s="121"/>
      <c r="N153" s="121"/>
    </row>
    <row r="154" spans="1:16" x14ac:dyDescent="0.25">
      <c r="A154" s="118">
        <f>Puntenberekening!$Q$18</f>
        <v>0.04</v>
      </c>
      <c r="B154" s="130">
        <v>10</v>
      </c>
      <c r="C154" s="122">
        <f>C155*(1+$A154)</f>
        <v>8.1984259259259261E-4</v>
      </c>
      <c r="D154" s="122">
        <f t="shared" ref="D154:K154" si="100">$C154/D149</f>
        <v>8.7796379587983789E-4</v>
      </c>
      <c r="E154" s="122">
        <f t="shared" si="100"/>
        <v>9.5686577099975796E-4</v>
      </c>
      <c r="F154" s="122">
        <f t="shared" si="100"/>
        <v>6.7543466188218213E-4</v>
      </c>
      <c r="G154" s="122">
        <f t="shared" si="100"/>
        <v>7.199179773380687E-4</v>
      </c>
      <c r="H154" s="122">
        <f t="shared" si="100"/>
        <v>7.7475202475202473E-4</v>
      </c>
      <c r="I154" s="122">
        <f t="shared" si="100"/>
        <v>8.4676987460503264E-4</v>
      </c>
      <c r="J154" s="122">
        <f t="shared" si="100"/>
        <v>9.5197700022363286E-4</v>
      </c>
      <c r="K154" s="122">
        <f t="shared" si="100"/>
        <v>1.1355160562224274E-3</v>
      </c>
      <c r="L154" s="121"/>
      <c r="M154" s="121"/>
      <c r="N154" s="121"/>
    </row>
    <row r="155" spans="1:16" x14ac:dyDescent="0.25">
      <c r="A155" s="118">
        <f>Puntenberekening!$Q$17</f>
        <v>0</v>
      </c>
      <c r="B155" s="130">
        <v>11</v>
      </c>
      <c r="C155" s="122">
        <f>VLOOKUP(A148,'KAVVV Records &amp; age-grading'!$A$30:$C$55,3,FALSE)</f>
        <v>7.8831018518518519E-4</v>
      </c>
      <c r="D155" s="122">
        <f t="shared" ref="D155:K155" si="101">$C155/D149</f>
        <v>8.4419595757676718E-4</v>
      </c>
      <c r="E155" s="122">
        <f t="shared" si="101"/>
        <v>9.2006324134592105E-4</v>
      </c>
      <c r="F155" s="122">
        <f t="shared" si="101"/>
        <v>6.4945640565594435E-4</v>
      </c>
      <c r="G155" s="122">
        <f t="shared" si="101"/>
        <v>6.9222882436352755E-4</v>
      </c>
      <c r="H155" s="122">
        <f t="shared" si="101"/>
        <v>7.4495386995386992E-4</v>
      </c>
      <c r="I155" s="122">
        <f t="shared" si="101"/>
        <v>8.1420180250483913E-4</v>
      </c>
      <c r="J155" s="122">
        <f t="shared" si="101"/>
        <v>9.1536250021503158E-4</v>
      </c>
      <c r="K155" s="122">
        <f t="shared" si="101"/>
        <v>1.091842361752334E-3</v>
      </c>
      <c r="L155" s="121"/>
      <c r="M155" s="121"/>
      <c r="N155" s="121"/>
    </row>
    <row r="156" spans="1:16" x14ac:dyDescent="0.25">
      <c r="B156" s="129"/>
    </row>
    <row r="157" spans="1:16" x14ac:dyDescent="0.25">
      <c r="A157" t="s">
        <v>257</v>
      </c>
      <c r="B157" s="129"/>
      <c r="C157" s="15" t="s">
        <v>243</v>
      </c>
      <c r="D157" s="15" t="s">
        <v>233</v>
      </c>
      <c r="E157" s="15" t="s">
        <v>232</v>
      </c>
      <c r="F157" s="15" t="s">
        <v>234</v>
      </c>
      <c r="G157" s="15" t="s">
        <v>235</v>
      </c>
      <c r="H157" s="15" t="s">
        <v>236</v>
      </c>
      <c r="I157" s="15" t="s">
        <v>237</v>
      </c>
      <c r="J157" s="15" t="s">
        <v>238</v>
      </c>
      <c r="K157" s="15" t="s">
        <v>239</v>
      </c>
      <c r="L157" s="15" t="s">
        <v>240</v>
      </c>
      <c r="M157" s="15" t="s">
        <v>241</v>
      </c>
      <c r="N157" s="15" t="s">
        <v>242</v>
      </c>
    </row>
    <row r="158" spans="1:16" ht="14.4" x14ac:dyDescent="0.3">
      <c r="C158" s="123"/>
      <c r="D158" s="124">
        <f>VLOOKUP($A157,'KAVVV Records &amp; age-grading'!$A$30:$AF$55,20,FALSE)</f>
        <v>1.1101000000000001</v>
      </c>
      <c r="E158" s="124">
        <f>VLOOKUP($A157,'KAVVV Records &amp; age-grading'!$A$30:$AF$55,21,FALSE)</f>
        <v>1.1776</v>
      </c>
      <c r="F158" s="124">
        <f>VLOOKUP($A157,'KAVVV Records &amp; age-grading'!$A$30:$AF$55,22,FALSE)</f>
        <v>1.2538</v>
      </c>
      <c r="G158" s="124">
        <f>VLOOKUP($A157,'KAVVV Records &amp; age-grading'!$A$30:$AF$55,23,FALSE)</f>
        <v>1.3405</v>
      </c>
      <c r="H158" s="124">
        <f>VLOOKUP($A157,'KAVVV Records &amp; age-grading'!$A$30:$AF$55,24,FALSE)</f>
        <v>1.44</v>
      </c>
      <c r="I158" s="124">
        <f>VLOOKUP($A157,'KAVVV Records &amp; age-grading'!$A$30:$AF$55,25,FALSE)</f>
        <v>1.5557000000000001</v>
      </c>
      <c r="J158" s="124">
        <f>VLOOKUP($A157,'KAVVV Records &amp; age-grading'!$A$30:$AF$55,26,FALSE)</f>
        <v>1.6942999999999999</v>
      </c>
      <c r="K158" s="124">
        <f>VLOOKUP($A157,'KAVVV Records &amp; age-grading'!$A$30:$AF$55,27,FALSE)</f>
        <v>1.8694999999999999</v>
      </c>
      <c r="L158" s="124">
        <f>VLOOKUP($A157,'KAVVV Records &amp; age-grading'!$A$30:$AF$55,28,FALSE)</f>
        <v>2.1644999999999999</v>
      </c>
      <c r="M158" s="124">
        <f>VLOOKUP($A157,'KAVVV Records &amp; age-grading'!$A$30:$AF$55,29,FALSE)</f>
        <v>2.9154</v>
      </c>
      <c r="N158" s="124">
        <f>VLOOKUP($A157,'KAVVV Records &amp; age-grading'!$A$30:$AF$55,30,FALSE)</f>
        <v>3.2696000000000001</v>
      </c>
      <c r="O158" s="124"/>
      <c r="P158" s="124"/>
    </row>
    <row r="159" spans="1:16" x14ac:dyDescent="0.25">
      <c r="A159" s="118">
        <f>Puntenberekening!$AG$22</f>
        <v>-0.45</v>
      </c>
      <c r="B159" s="130">
        <v>6</v>
      </c>
      <c r="C159" s="8">
        <f>C164*(1+$A159)</f>
        <v>3.0965000000000003</v>
      </c>
      <c r="D159" s="131">
        <f t="shared" ref="D159:N159" si="102">$C159/D158</f>
        <v>2.7893883433924871</v>
      </c>
      <c r="E159" s="131">
        <f t="shared" si="102"/>
        <v>2.6295006793478262</v>
      </c>
      <c r="F159" s="131">
        <f t="shared" si="102"/>
        <v>2.4696921359068433</v>
      </c>
      <c r="G159" s="131">
        <f t="shared" si="102"/>
        <v>2.3099589705333834</v>
      </c>
      <c r="H159" s="131">
        <f t="shared" si="102"/>
        <v>2.1503472222222224</v>
      </c>
      <c r="I159" s="131">
        <f t="shared" si="102"/>
        <v>1.990422317927621</v>
      </c>
      <c r="J159" s="131">
        <f t="shared" si="102"/>
        <v>1.8275984182258163</v>
      </c>
      <c r="K159" s="131">
        <f t="shared" si="102"/>
        <v>1.6563252206472321</v>
      </c>
      <c r="L159" s="131">
        <f t="shared" si="102"/>
        <v>1.4305844305844309</v>
      </c>
      <c r="M159" s="131">
        <f t="shared" si="102"/>
        <v>1.0621184057076216</v>
      </c>
      <c r="N159" s="131">
        <f t="shared" si="102"/>
        <v>0.94705774406655252</v>
      </c>
    </row>
    <row r="160" spans="1:16" x14ac:dyDescent="0.25">
      <c r="A160" s="118">
        <f>Puntenberekening!$AG$21</f>
        <v>-0.33</v>
      </c>
      <c r="B160" s="130">
        <v>7</v>
      </c>
      <c r="C160" s="8">
        <f>C164*(1+$A160)</f>
        <v>3.7720999999999996</v>
      </c>
      <c r="D160" s="131">
        <f t="shared" ref="D160:N160" si="103">$C160/D158</f>
        <v>3.3979821637690293</v>
      </c>
      <c r="E160" s="131">
        <f t="shared" si="103"/>
        <v>3.2032099184782608</v>
      </c>
      <c r="F160" s="131">
        <f t="shared" si="103"/>
        <v>3.0085340564683358</v>
      </c>
      <c r="G160" s="131">
        <f t="shared" si="103"/>
        <v>2.813950018649757</v>
      </c>
      <c r="H160" s="131">
        <f t="shared" si="103"/>
        <v>2.6195138888888887</v>
      </c>
      <c r="I160" s="131">
        <f t="shared" si="103"/>
        <v>2.4246962782027377</v>
      </c>
      <c r="J160" s="131">
        <f t="shared" si="103"/>
        <v>2.2263471640205394</v>
      </c>
      <c r="K160" s="131">
        <f t="shared" si="103"/>
        <v>2.017705268788446</v>
      </c>
      <c r="L160" s="131">
        <f t="shared" si="103"/>
        <v>1.7427119427119426</v>
      </c>
      <c r="M160" s="131">
        <f t="shared" si="103"/>
        <v>1.2938533305892843</v>
      </c>
      <c r="N160" s="131">
        <f t="shared" si="103"/>
        <v>1.1536885245901638</v>
      </c>
    </row>
    <row r="161" spans="1:16" x14ac:dyDescent="0.25">
      <c r="A161" s="118">
        <f>Puntenberekening!$AG$20</f>
        <v>-0.22500000000000001</v>
      </c>
      <c r="B161" s="130">
        <v>8</v>
      </c>
      <c r="C161" s="8">
        <f>C164*(1+$A161)</f>
        <v>4.3632499999999999</v>
      </c>
      <c r="D161" s="131">
        <f t="shared" ref="D161:N161" si="104">$C161/D158</f>
        <v>3.9305017565985043</v>
      </c>
      <c r="E161" s="131">
        <f t="shared" si="104"/>
        <v>3.7052055027173911</v>
      </c>
      <c r="F161" s="131">
        <f t="shared" si="104"/>
        <v>3.4800207369596423</v>
      </c>
      <c r="G161" s="131">
        <f t="shared" si="104"/>
        <v>3.254942185751585</v>
      </c>
      <c r="H161" s="131">
        <f t="shared" si="104"/>
        <v>3.0300347222222221</v>
      </c>
      <c r="I161" s="131">
        <f t="shared" si="104"/>
        <v>2.8046859934434658</v>
      </c>
      <c r="J161" s="131">
        <f t="shared" si="104"/>
        <v>2.5752523165909227</v>
      </c>
      <c r="K161" s="131">
        <f t="shared" si="104"/>
        <v>2.3339128109120084</v>
      </c>
      <c r="L161" s="131">
        <f t="shared" si="104"/>
        <v>2.015823515823516</v>
      </c>
      <c r="M161" s="131">
        <f t="shared" si="104"/>
        <v>1.4966213898607394</v>
      </c>
      <c r="N161" s="131">
        <f t="shared" si="104"/>
        <v>1.3344904575483238</v>
      </c>
    </row>
    <row r="162" spans="1:16" x14ac:dyDescent="0.25">
      <c r="A162" s="118">
        <f>Puntenberekening!$AG$19</f>
        <v>-0.13500000000000001</v>
      </c>
      <c r="B162" s="130">
        <v>9</v>
      </c>
      <c r="C162" s="8">
        <f>C164*(1+$A162)</f>
        <v>4.8699500000000002</v>
      </c>
      <c r="D162" s="131">
        <f t="shared" ref="D162:N162" si="105">$C162/D158</f>
        <v>4.3869471218809117</v>
      </c>
      <c r="E162" s="131">
        <f t="shared" si="105"/>
        <v>4.1354874320652177</v>
      </c>
      <c r="F162" s="131">
        <f t="shared" si="105"/>
        <v>3.8841521773807628</v>
      </c>
      <c r="G162" s="131">
        <f t="shared" si="105"/>
        <v>3.632935471838866</v>
      </c>
      <c r="H162" s="131">
        <f t="shared" si="105"/>
        <v>3.3819097222222223</v>
      </c>
      <c r="I162" s="131">
        <f t="shared" si="105"/>
        <v>3.1303914636498038</v>
      </c>
      <c r="J162" s="131">
        <f t="shared" si="105"/>
        <v>2.8743138759369655</v>
      </c>
      <c r="K162" s="131">
        <f t="shared" si="105"/>
        <v>2.6049478470179195</v>
      </c>
      <c r="L162" s="131">
        <f t="shared" si="105"/>
        <v>2.2499191499191502</v>
      </c>
      <c r="M162" s="131">
        <f t="shared" si="105"/>
        <v>1.6704225835219868</v>
      </c>
      <c r="N162" s="131">
        <f t="shared" si="105"/>
        <v>1.4894635429410326</v>
      </c>
    </row>
    <row r="163" spans="1:16" x14ac:dyDescent="0.25">
      <c r="A163" s="118">
        <f>Puntenberekening!$AG$18</f>
        <v>-0.06</v>
      </c>
      <c r="B163" s="130">
        <v>10</v>
      </c>
      <c r="C163" s="8">
        <f>C164*(1+$A163)</f>
        <v>5.2921999999999993</v>
      </c>
      <c r="D163" s="131">
        <f t="shared" ref="D163:N163" si="106">$C163/D158</f>
        <v>4.7673182596162498</v>
      </c>
      <c r="E163" s="131">
        <f t="shared" si="106"/>
        <v>4.4940557065217384</v>
      </c>
      <c r="F163" s="131">
        <f t="shared" si="106"/>
        <v>4.2209283777316946</v>
      </c>
      <c r="G163" s="131">
        <f t="shared" si="106"/>
        <v>3.9479298769115996</v>
      </c>
      <c r="H163" s="131">
        <f t="shared" si="106"/>
        <v>3.6751388888888887</v>
      </c>
      <c r="I163" s="131">
        <f t="shared" si="106"/>
        <v>3.4018126888217517</v>
      </c>
      <c r="J163" s="131">
        <f t="shared" si="106"/>
        <v>3.1235318420586671</v>
      </c>
      <c r="K163" s="131">
        <f t="shared" si="106"/>
        <v>2.8308103771061779</v>
      </c>
      <c r="L163" s="131">
        <f t="shared" si="106"/>
        <v>2.4449988449988447</v>
      </c>
      <c r="M163" s="131">
        <f t="shared" si="106"/>
        <v>1.8152569115730257</v>
      </c>
      <c r="N163" s="131">
        <f t="shared" si="106"/>
        <v>1.6186077807682895</v>
      </c>
    </row>
    <row r="164" spans="1:16" x14ac:dyDescent="0.25">
      <c r="A164" s="118">
        <f>Puntenberekening!$AG$17</f>
        <v>0</v>
      </c>
      <c r="B164" s="130">
        <v>11</v>
      </c>
      <c r="C164" s="132">
        <f>VLOOKUP(A157,'KAVVV Records &amp; age-grading'!$A$30:$C$55,3,FALSE)</f>
        <v>5.63</v>
      </c>
      <c r="D164" s="131">
        <f t="shared" ref="D164:N164" si="107">$C164/D158</f>
        <v>5.071615169804522</v>
      </c>
      <c r="E164" s="131">
        <f t="shared" si="107"/>
        <v>4.7809103260869561</v>
      </c>
      <c r="F164" s="131">
        <f t="shared" si="107"/>
        <v>4.4903493380124422</v>
      </c>
      <c r="G164" s="131">
        <f t="shared" si="107"/>
        <v>4.1999254009697875</v>
      </c>
      <c r="H164" s="131">
        <f t="shared" si="107"/>
        <v>3.9097222222222223</v>
      </c>
      <c r="I164" s="131">
        <f t="shared" si="107"/>
        <v>3.6189496689593108</v>
      </c>
      <c r="J164" s="131">
        <f t="shared" si="107"/>
        <v>3.3229062149560291</v>
      </c>
      <c r="K164" s="131">
        <f t="shared" si="107"/>
        <v>3.0115004011767854</v>
      </c>
      <c r="L164" s="131">
        <f t="shared" si="107"/>
        <v>2.6010626010626012</v>
      </c>
      <c r="M164" s="131">
        <f t="shared" si="107"/>
        <v>1.9311243740138575</v>
      </c>
      <c r="N164" s="131">
        <f t="shared" si="107"/>
        <v>1.7219231710300953</v>
      </c>
    </row>
    <row r="165" spans="1:16" x14ac:dyDescent="0.25">
      <c r="B165" s="129"/>
    </row>
    <row r="166" spans="1:16" x14ac:dyDescent="0.25">
      <c r="A166" t="s">
        <v>258</v>
      </c>
      <c r="B166" s="129"/>
      <c r="C166" s="15" t="s">
        <v>243</v>
      </c>
      <c r="D166" s="15" t="s">
        <v>233</v>
      </c>
      <c r="E166" s="15" t="s">
        <v>232</v>
      </c>
      <c r="F166" s="15" t="s">
        <v>234</v>
      </c>
      <c r="G166" s="15" t="s">
        <v>235</v>
      </c>
      <c r="H166" s="15" t="s">
        <v>236</v>
      </c>
      <c r="I166" s="15" t="s">
        <v>237</v>
      </c>
      <c r="J166" s="15" t="s">
        <v>238</v>
      </c>
      <c r="K166" s="15" t="s">
        <v>239</v>
      </c>
      <c r="L166" s="15" t="s">
        <v>240</v>
      </c>
      <c r="M166" s="15" t="s">
        <v>241</v>
      </c>
      <c r="N166" s="15" t="s">
        <v>242</v>
      </c>
    </row>
    <row r="167" spans="1:16" ht="14.4" x14ac:dyDescent="0.3">
      <c r="C167" s="123"/>
      <c r="D167" s="124">
        <f>VLOOKUP($A166,'KAVVV Records &amp; age-grading'!$A$30:$AF$55,20,FALSE)</f>
        <v>1.1035999999999999</v>
      </c>
      <c r="E167" s="124">
        <f>VLOOKUP($A166,'KAVVV Records &amp; age-grading'!$A$30:$AF$55,21,FALSE)</f>
        <v>1.1614</v>
      </c>
      <c r="F167" s="124">
        <f>VLOOKUP($A166,'KAVVV Records &amp; age-grading'!$A$30:$AF$55,22,FALSE)</f>
        <v>1.2256</v>
      </c>
      <c r="G167" s="124">
        <f>VLOOKUP($A166,'KAVVV Records &amp; age-grading'!$A$30:$AF$55,23,FALSE)</f>
        <v>1.2972999999999999</v>
      </c>
      <c r="H167" s="124">
        <f>VLOOKUP($A166,'KAVVV Records &amp; age-grading'!$A$30:$AF$55,24,FALSE)</f>
        <v>1.3778999999999999</v>
      </c>
      <c r="I167" s="124">
        <f>VLOOKUP($A166,'KAVVV Records &amp; age-grading'!$A$30:$AF$55,25,FALSE)</f>
        <v>1.4708000000000001</v>
      </c>
      <c r="J167" s="124">
        <f>VLOOKUP($A166,'KAVVV Records &amp; age-grading'!$A$30:$AF$55,26,FALSE)</f>
        <v>1.5794999999999999</v>
      </c>
      <c r="K167" s="124">
        <f>VLOOKUP($A166,'KAVVV Records &amp; age-grading'!$A$30:$AF$55,27,FALSE)</f>
        <v>1.7094</v>
      </c>
      <c r="L167" s="124">
        <f>VLOOKUP($A166,'KAVVV Records &amp; age-grading'!$A$30:$AF$55,28,FALSE)</f>
        <v>1.8681000000000001</v>
      </c>
      <c r="M167" s="124">
        <f>VLOOKUP($A166,'KAVVV Records &amp; age-grading'!$A$30:$AF$55,29,FALSE)</f>
        <v>2.0672999999999999</v>
      </c>
      <c r="N167" s="124">
        <f>VLOOKUP($A166,'KAVVV Records &amp; age-grading'!$A$30:$AF$55,30,FALSE)</f>
        <v>2.3260999999999998</v>
      </c>
      <c r="O167" s="124"/>
      <c r="P167" s="124"/>
    </row>
    <row r="168" spans="1:16" x14ac:dyDescent="0.25">
      <c r="A168" s="118">
        <f>Puntenberekening!$AG$22</f>
        <v>-0.45</v>
      </c>
      <c r="B168" s="130">
        <v>6</v>
      </c>
      <c r="C168" s="8">
        <f>C173*(1+$A168)</f>
        <v>0.91849999999999998</v>
      </c>
      <c r="D168" s="131">
        <f t="shared" ref="D168:N168" si="108">$C168/D167</f>
        <v>0.83227618702428419</v>
      </c>
      <c r="E168" s="131">
        <f t="shared" si="108"/>
        <v>0.79085586361288096</v>
      </c>
      <c r="F168" s="131">
        <f t="shared" si="108"/>
        <v>0.74942885117493474</v>
      </c>
      <c r="G168" s="131">
        <f t="shared" si="108"/>
        <v>0.70800894164803829</v>
      </c>
      <c r="H168" s="131">
        <f t="shared" si="108"/>
        <v>0.66659409245953993</v>
      </c>
      <c r="I168" s="131">
        <f t="shared" si="108"/>
        <v>0.62449007342942608</v>
      </c>
      <c r="J168" s="131">
        <f t="shared" si="108"/>
        <v>0.58151313706869268</v>
      </c>
      <c r="K168" s="131">
        <f t="shared" si="108"/>
        <v>0.53732303732303732</v>
      </c>
      <c r="L168" s="131">
        <f t="shared" si="108"/>
        <v>0.4916760344735292</v>
      </c>
      <c r="M168" s="131">
        <f t="shared" si="108"/>
        <v>0.44429932762540514</v>
      </c>
      <c r="N168" s="131">
        <f t="shared" si="108"/>
        <v>0.39486694467133832</v>
      </c>
    </row>
    <row r="169" spans="1:16" x14ac:dyDescent="0.25">
      <c r="A169" s="118">
        <f>Puntenberekening!$AG$21</f>
        <v>-0.33</v>
      </c>
      <c r="B169" s="130">
        <v>7</v>
      </c>
      <c r="C169" s="8">
        <f>C173*(1+$A169)</f>
        <v>1.1188999999999998</v>
      </c>
      <c r="D169" s="131">
        <f t="shared" ref="D169:N169" si="109">$C169/D167</f>
        <v>1.0138637187386734</v>
      </c>
      <c r="E169" s="131">
        <f t="shared" si="109"/>
        <v>0.96340623385569124</v>
      </c>
      <c r="F169" s="131">
        <f t="shared" si="109"/>
        <v>0.91294060052219306</v>
      </c>
      <c r="G169" s="131">
        <f t="shared" si="109"/>
        <v>0.86248361982579191</v>
      </c>
      <c r="H169" s="131">
        <f t="shared" si="109"/>
        <v>0.81203280354162122</v>
      </c>
      <c r="I169" s="131">
        <f t="shared" si="109"/>
        <v>0.76074245308675525</v>
      </c>
      <c r="J169" s="131">
        <f t="shared" si="109"/>
        <v>0.70838873061095275</v>
      </c>
      <c r="K169" s="131">
        <f t="shared" si="109"/>
        <v>0.65455715455715446</v>
      </c>
      <c r="L169" s="131">
        <f t="shared" si="109"/>
        <v>0.59895080563139003</v>
      </c>
      <c r="M169" s="131">
        <f t="shared" si="109"/>
        <v>0.54123736274367529</v>
      </c>
      <c r="N169" s="131">
        <f t="shared" si="109"/>
        <v>0.48101973259963021</v>
      </c>
    </row>
    <row r="170" spans="1:16" x14ac:dyDescent="0.25">
      <c r="A170" s="118">
        <f>Puntenberekening!$AG$20</f>
        <v>-0.22500000000000001</v>
      </c>
      <c r="B170" s="130">
        <v>8</v>
      </c>
      <c r="C170" s="8">
        <f>C173*(1+$A170)</f>
        <v>1.2942499999999999</v>
      </c>
      <c r="D170" s="131">
        <f t="shared" ref="D170:N170" si="110">$C170/D167</f>
        <v>1.172752808988764</v>
      </c>
      <c r="E170" s="131">
        <f t="shared" si="110"/>
        <v>1.1143878078181504</v>
      </c>
      <c r="F170" s="131">
        <f t="shared" si="110"/>
        <v>1.0560133812010444</v>
      </c>
      <c r="G170" s="131">
        <f t="shared" si="110"/>
        <v>0.99764896323132657</v>
      </c>
      <c r="H170" s="131">
        <f t="shared" si="110"/>
        <v>0.93929167573844252</v>
      </c>
      <c r="I170" s="131">
        <f t="shared" si="110"/>
        <v>0.87996328528691858</v>
      </c>
      <c r="J170" s="131">
        <f t="shared" si="110"/>
        <v>0.81940487496043046</v>
      </c>
      <c r="K170" s="131">
        <f t="shared" si="110"/>
        <v>0.75713700713700705</v>
      </c>
      <c r="L170" s="131">
        <f t="shared" si="110"/>
        <v>0.69281623039451845</v>
      </c>
      <c r="M170" s="131">
        <f t="shared" si="110"/>
        <v>0.62605814347216171</v>
      </c>
      <c r="N170" s="131">
        <f t="shared" si="110"/>
        <v>0.55640342203688575</v>
      </c>
    </row>
    <row r="171" spans="1:16" x14ac:dyDescent="0.25">
      <c r="A171" s="118">
        <f>Puntenberekening!$AG$19</f>
        <v>-0.13500000000000001</v>
      </c>
      <c r="B171" s="130">
        <v>9</v>
      </c>
      <c r="C171" s="8">
        <f>C173*(1+$A171)</f>
        <v>1.44455</v>
      </c>
      <c r="D171" s="131">
        <f t="shared" ref="D171:N171" si="111">$C171/D167</f>
        <v>1.308943457774556</v>
      </c>
      <c r="E171" s="131">
        <f t="shared" si="111"/>
        <v>1.2438005855002583</v>
      </c>
      <c r="F171" s="131">
        <f t="shared" si="111"/>
        <v>1.1786471932114881</v>
      </c>
      <c r="G171" s="131">
        <f t="shared" si="111"/>
        <v>1.1135049718646421</v>
      </c>
      <c r="H171" s="131">
        <f t="shared" si="111"/>
        <v>1.0483707090500036</v>
      </c>
      <c r="I171" s="131">
        <f t="shared" si="111"/>
        <v>0.98215257002991563</v>
      </c>
      <c r="J171" s="131">
        <f t="shared" si="111"/>
        <v>0.91456157011712569</v>
      </c>
      <c r="K171" s="131">
        <f t="shared" si="111"/>
        <v>0.84506259506259507</v>
      </c>
      <c r="L171" s="131">
        <f t="shared" si="111"/>
        <v>0.7732723087629142</v>
      </c>
      <c r="M171" s="131">
        <f t="shared" si="111"/>
        <v>0.69876166981086441</v>
      </c>
      <c r="N171" s="131">
        <f t="shared" si="111"/>
        <v>0.62101801298310477</v>
      </c>
    </row>
    <row r="172" spans="1:16" x14ac:dyDescent="0.25">
      <c r="A172" s="118">
        <f>Puntenberekening!$AG$18</f>
        <v>-0.06</v>
      </c>
      <c r="B172" s="130">
        <v>10</v>
      </c>
      <c r="C172" s="8">
        <f>C173*(1+$A172)</f>
        <v>1.5697999999999999</v>
      </c>
      <c r="D172" s="131">
        <f t="shared" ref="D172:N172" si="112">$C172/D167</f>
        <v>1.4224356650960492</v>
      </c>
      <c r="E172" s="131">
        <f t="shared" si="112"/>
        <v>1.3516445669020147</v>
      </c>
      <c r="F172" s="131">
        <f t="shared" si="112"/>
        <v>1.2808420365535247</v>
      </c>
      <c r="G172" s="131">
        <f t="shared" si="112"/>
        <v>1.210051645725738</v>
      </c>
      <c r="H172" s="131">
        <f t="shared" si="112"/>
        <v>1.1392699034763045</v>
      </c>
      <c r="I172" s="131">
        <f t="shared" si="112"/>
        <v>1.0673103073157464</v>
      </c>
      <c r="J172" s="131">
        <f t="shared" si="112"/>
        <v>0.99385881608103832</v>
      </c>
      <c r="K172" s="131">
        <f t="shared" si="112"/>
        <v>0.9183339183339182</v>
      </c>
      <c r="L172" s="131">
        <f t="shared" si="112"/>
        <v>0.84031904073657715</v>
      </c>
      <c r="M172" s="131">
        <f t="shared" si="112"/>
        <v>0.75934794175978326</v>
      </c>
      <c r="N172" s="131">
        <f t="shared" si="112"/>
        <v>0.67486350543828721</v>
      </c>
    </row>
    <row r="173" spans="1:16" x14ac:dyDescent="0.25">
      <c r="A173" s="118">
        <f>Puntenberekening!$AG$17</f>
        <v>0</v>
      </c>
      <c r="B173" s="130">
        <v>11</v>
      </c>
      <c r="C173" s="132">
        <f>VLOOKUP(A166,'KAVVV Records &amp; age-grading'!$A$30:$C$55,3,FALSE)</f>
        <v>1.67</v>
      </c>
      <c r="D173" s="131">
        <f t="shared" ref="D173:N173" si="113">$C173/D167</f>
        <v>1.5132294309532439</v>
      </c>
      <c r="E173" s="131">
        <f t="shared" si="113"/>
        <v>1.4379197520234199</v>
      </c>
      <c r="F173" s="131">
        <f t="shared" si="113"/>
        <v>1.362597911227154</v>
      </c>
      <c r="G173" s="131">
        <f t="shared" si="113"/>
        <v>1.287288984814615</v>
      </c>
      <c r="H173" s="131">
        <f t="shared" si="113"/>
        <v>1.2119892590173453</v>
      </c>
      <c r="I173" s="131">
        <f t="shared" si="113"/>
        <v>1.1354364971444111</v>
      </c>
      <c r="J173" s="131">
        <f t="shared" si="113"/>
        <v>1.0572966128521684</v>
      </c>
      <c r="K173" s="131">
        <f t="shared" si="113"/>
        <v>0.97695097695097688</v>
      </c>
      <c r="L173" s="131">
        <f t="shared" si="113"/>
        <v>0.89395642631550765</v>
      </c>
      <c r="M173" s="131">
        <f t="shared" si="113"/>
        <v>0.80781695931891839</v>
      </c>
      <c r="N173" s="131">
        <f t="shared" si="113"/>
        <v>0.7179398994024333</v>
      </c>
    </row>
    <row r="174" spans="1:16" x14ac:dyDescent="0.25">
      <c r="B174" s="129"/>
    </row>
    <row r="175" spans="1:16" x14ac:dyDescent="0.25">
      <c r="A175" t="s">
        <v>259</v>
      </c>
      <c r="B175" s="129"/>
      <c r="C175" s="15" t="s">
        <v>243</v>
      </c>
      <c r="D175" s="15" t="s">
        <v>233</v>
      </c>
      <c r="E175" s="15" t="s">
        <v>232</v>
      </c>
      <c r="F175" s="15" t="s">
        <v>234</v>
      </c>
      <c r="G175" s="15" t="s">
        <v>235</v>
      </c>
      <c r="H175" s="15" t="s">
        <v>236</v>
      </c>
      <c r="I175" s="15" t="s">
        <v>237</v>
      </c>
      <c r="J175" s="15" t="s">
        <v>238</v>
      </c>
      <c r="K175" s="15" t="s">
        <v>239</v>
      </c>
      <c r="L175" s="15" t="s">
        <v>240</v>
      </c>
      <c r="M175" s="15" t="s">
        <v>241</v>
      </c>
      <c r="N175" s="15" t="s">
        <v>242</v>
      </c>
    </row>
    <row r="176" spans="1:16" ht="14.4" x14ac:dyDescent="0.3">
      <c r="C176" s="123"/>
      <c r="D176" s="124">
        <f>VLOOKUP($A175,'KAVVV Records &amp; age-grading'!$A$30:$AF$55,20,FALSE)</f>
        <v>1.0780000000000001</v>
      </c>
      <c r="E176" s="124">
        <f>VLOOKUP($A175,'KAVVV Records &amp; age-grading'!$A$30:$AF$55,21,FALSE)</f>
        <v>1.1448</v>
      </c>
      <c r="F176" s="124">
        <f>VLOOKUP($A175,'KAVVV Records &amp; age-grading'!$A$30:$AF$55,22,FALSE)</f>
        <v>1.2203999999999999</v>
      </c>
      <c r="G176" s="124">
        <f>VLOOKUP($A175,'KAVVV Records &amp; age-grading'!$A$30:$AF$55,23,FALSE)</f>
        <v>1.3066</v>
      </c>
      <c r="H176" s="124">
        <f>VLOOKUP($A175,'KAVVV Records &amp; age-grading'!$A$30:$AF$55,24,FALSE)</f>
        <v>1.4059999999999999</v>
      </c>
      <c r="I176" s="124">
        <f>VLOOKUP($A175,'KAVVV Records &amp; age-grading'!$A$30:$AF$55,25,FALSE)</f>
        <v>1.5218</v>
      </c>
      <c r="J176" s="124">
        <f>VLOOKUP($A175,'KAVVV Records &amp; age-grading'!$A$30:$AF$55,26,FALSE)</f>
        <v>1.6780999999999999</v>
      </c>
      <c r="K176" s="124">
        <f>VLOOKUP($A175,'KAVVV Records &amp; age-grading'!$A$30:$AF$55,27,FALSE)</f>
        <v>1.9164000000000001</v>
      </c>
      <c r="L176" s="124">
        <f>VLOOKUP($A175,'KAVVV Records &amp; age-grading'!$A$30:$AF$55,28,FALSE)</f>
        <v>2.3391000000000002</v>
      </c>
      <c r="M176" s="124">
        <f>VLOOKUP($A175,'KAVVV Records &amp; age-grading'!$A$30:$AF$55,29,FALSE)</f>
        <v>3.2732999999999999</v>
      </c>
      <c r="N176" s="124">
        <f>VLOOKUP($A175,'KAVVV Records &amp; age-grading'!$A$30:$AF$55,30,FALSE)</f>
        <v>3.3532000000000002</v>
      </c>
      <c r="O176" s="124"/>
      <c r="P176" s="124"/>
    </row>
    <row r="177" spans="1:16" x14ac:dyDescent="0.25">
      <c r="A177" s="118">
        <f>Puntenberekening!$AG$22</f>
        <v>-0.45</v>
      </c>
      <c r="B177" s="130">
        <v>6</v>
      </c>
      <c r="C177" s="8">
        <f>C182*(1+$A177)</f>
        <v>6.2590000000000012</v>
      </c>
      <c r="D177" s="131">
        <f t="shared" ref="D177:N177" si="114">$C177/D176</f>
        <v>5.8061224489795924</v>
      </c>
      <c r="E177" s="131">
        <f t="shared" si="114"/>
        <v>5.4673305380852559</v>
      </c>
      <c r="F177" s="131">
        <f t="shared" si="114"/>
        <v>5.1286463454605062</v>
      </c>
      <c r="G177" s="131">
        <f t="shared" si="114"/>
        <v>4.7902954232358805</v>
      </c>
      <c r="H177" s="131">
        <f t="shared" si="114"/>
        <v>4.4516358463726897</v>
      </c>
      <c r="I177" s="131">
        <f t="shared" si="114"/>
        <v>4.1128926271520578</v>
      </c>
      <c r="J177" s="131">
        <f t="shared" si="114"/>
        <v>3.7298134795304221</v>
      </c>
      <c r="K177" s="131">
        <f t="shared" si="114"/>
        <v>3.2660196201210607</v>
      </c>
      <c r="L177" s="131">
        <f t="shared" si="114"/>
        <v>2.6758154845880897</v>
      </c>
      <c r="M177" s="131">
        <f t="shared" si="114"/>
        <v>1.9121375981425477</v>
      </c>
      <c r="N177" s="131">
        <f t="shared" si="114"/>
        <v>1.8665752117380416</v>
      </c>
    </row>
    <row r="178" spans="1:16" x14ac:dyDescent="0.25">
      <c r="A178" s="118">
        <f>Puntenberekening!$AG$21</f>
        <v>-0.33</v>
      </c>
      <c r="B178" s="130">
        <v>7</v>
      </c>
      <c r="C178" s="8">
        <f>C182*(1+$A178)</f>
        <v>7.6246</v>
      </c>
      <c r="D178" s="131">
        <f t="shared" ref="D178:N178" si="115">$C178/D176</f>
        <v>7.0729128014842297</v>
      </c>
      <c r="E178" s="131">
        <f t="shared" si="115"/>
        <v>6.6602026554856746</v>
      </c>
      <c r="F178" s="131">
        <f t="shared" si="115"/>
        <v>6.2476237299246149</v>
      </c>
      <c r="G178" s="131">
        <f t="shared" si="115"/>
        <v>5.8354507883055255</v>
      </c>
      <c r="H178" s="131">
        <f t="shared" si="115"/>
        <v>5.4229018492176388</v>
      </c>
      <c r="I178" s="131">
        <f t="shared" si="115"/>
        <v>5.0102510185306874</v>
      </c>
      <c r="J178" s="131">
        <f t="shared" si="115"/>
        <v>4.5435909659734222</v>
      </c>
      <c r="K178" s="131">
        <f t="shared" si="115"/>
        <v>3.978605719056564</v>
      </c>
      <c r="L178" s="131">
        <f t="shared" si="115"/>
        <v>3.2596297721345815</v>
      </c>
      <c r="M178" s="131">
        <f t="shared" si="115"/>
        <v>2.3293312559191031</v>
      </c>
      <c r="N178" s="131">
        <f t="shared" si="115"/>
        <v>2.2738279852081593</v>
      </c>
    </row>
    <row r="179" spans="1:16" x14ac:dyDescent="0.25">
      <c r="A179" s="118">
        <f>Puntenberekening!$AG$20</f>
        <v>-0.22500000000000001</v>
      </c>
      <c r="B179" s="130">
        <v>8</v>
      </c>
      <c r="C179" s="8">
        <f>C182*(1+$A179)</f>
        <v>8.8195000000000014</v>
      </c>
      <c r="D179" s="131">
        <f t="shared" ref="D179:N179" si="116">$C179/D176</f>
        <v>8.1813543599257894</v>
      </c>
      <c r="E179" s="131">
        <f t="shared" si="116"/>
        <v>7.7039657582110426</v>
      </c>
      <c r="F179" s="131">
        <f t="shared" si="116"/>
        <v>7.2267289413307125</v>
      </c>
      <c r="G179" s="131">
        <f t="shared" si="116"/>
        <v>6.7499617327414674</v>
      </c>
      <c r="H179" s="131">
        <f t="shared" si="116"/>
        <v>6.2727596017069711</v>
      </c>
      <c r="I179" s="131">
        <f t="shared" si="116"/>
        <v>5.7954396109869899</v>
      </c>
      <c r="J179" s="131">
        <f t="shared" si="116"/>
        <v>5.2556462666110493</v>
      </c>
      <c r="K179" s="131">
        <f t="shared" si="116"/>
        <v>4.6021185556251307</v>
      </c>
      <c r="L179" s="131">
        <f t="shared" si="116"/>
        <v>3.7704672737377627</v>
      </c>
      <c r="M179" s="131">
        <f t="shared" si="116"/>
        <v>2.6943757064735898</v>
      </c>
      <c r="N179" s="131">
        <f t="shared" si="116"/>
        <v>2.6301741619945131</v>
      </c>
    </row>
    <row r="180" spans="1:16" x14ac:dyDescent="0.25">
      <c r="A180" s="118">
        <f>Puntenberekening!$AG$19</f>
        <v>-0.13500000000000001</v>
      </c>
      <c r="B180" s="130">
        <v>9</v>
      </c>
      <c r="C180" s="8">
        <f>C182*(1+$A180)</f>
        <v>9.8437000000000001</v>
      </c>
      <c r="D180" s="131">
        <f t="shared" ref="D180:N180" si="117">$C180/D176</f>
        <v>9.1314471243042661</v>
      </c>
      <c r="E180" s="131">
        <f t="shared" si="117"/>
        <v>8.5986198462613554</v>
      </c>
      <c r="F180" s="131">
        <f t="shared" si="117"/>
        <v>8.0659619796787947</v>
      </c>
      <c r="G180" s="131">
        <f t="shared" si="117"/>
        <v>7.5338282565437016</v>
      </c>
      <c r="H180" s="131">
        <f t="shared" si="117"/>
        <v>7.001209103840683</v>
      </c>
      <c r="I180" s="131">
        <f t="shared" si="117"/>
        <v>6.4684584045209617</v>
      </c>
      <c r="J180" s="131">
        <f t="shared" si="117"/>
        <v>5.8659793814432994</v>
      </c>
      <c r="K180" s="131">
        <f t="shared" si="117"/>
        <v>5.1365581298267582</v>
      </c>
      <c r="L180" s="131">
        <f t="shared" si="117"/>
        <v>4.2083279893976311</v>
      </c>
      <c r="M180" s="131">
        <f t="shared" si="117"/>
        <v>3.0072709498060064</v>
      </c>
      <c r="N180" s="131">
        <f t="shared" si="117"/>
        <v>2.9356137420971011</v>
      </c>
    </row>
    <row r="181" spans="1:16" x14ac:dyDescent="0.25">
      <c r="A181" s="118">
        <f>Puntenberekening!$AG$18</f>
        <v>-0.06</v>
      </c>
      <c r="B181" s="130">
        <v>10</v>
      </c>
      <c r="C181" s="8">
        <f>C182*(1+$A181)</f>
        <v>10.6972</v>
      </c>
      <c r="D181" s="131">
        <f t="shared" ref="D181:N181" si="118">$C181/D176</f>
        <v>9.923191094619666</v>
      </c>
      <c r="E181" s="131">
        <f t="shared" si="118"/>
        <v>9.3441649196366185</v>
      </c>
      <c r="F181" s="131">
        <f t="shared" si="118"/>
        <v>8.765322844968864</v>
      </c>
      <c r="G181" s="131">
        <f t="shared" si="118"/>
        <v>8.1870503597122308</v>
      </c>
      <c r="H181" s="131">
        <f t="shared" si="118"/>
        <v>7.608250355618777</v>
      </c>
      <c r="I181" s="131">
        <f t="shared" si="118"/>
        <v>7.0293073991326063</v>
      </c>
      <c r="J181" s="131">
        <f t="shared" si="118"/>
        <v>6.3745903104701753</v>
      </c>
      <c r="K181" s="131">
        <f t="shared" si="118"/>
        <v>5.5819244416614486</v>
      </c>
      <c r="L181" s="131">
        <f t="shared" si="118"/>
        <v>4.5732119191141889</v>
      </c>
      <c r="M181" s="131">
        <f t="shared" si="118"/>
        <v>3.2680169859163537</v>
      </c>
      <c r="N181" s="131">
        <f t="shared" si="118"/>
        <v>3.190146725515925</v>
      </c>
    </row>
    <row r="182" spans="1:16" x14ac:dyDescent="0.25">
      <c r="A182" s="118">
        <f>Puntenberekening!$AG$17</f>
        <v>0</v>
      </c>
      <c r="B182" s="130">
        <v>11</v>
      </c>
      <c r="C182" s="132">
        <f>VLOOKUP(A175,'KAVVV Records &amp; age-grading'!$A$30:$C$55,3,FALSE)</f>
        <v>11.38</v>
      </c>
      <c r="D182" s="131">
        <f t="shared" ref="D182:N182" si="119">$C182/D176</f>
        <v>10.556586270871986</v>
      </c>
      <c r="E182" s="131">
        <f t="shared" si="119"/>
        <v>9.9406009783368283</v>
      </c>
      <c r="F182" s="131">
        <f t="shared" si="119"/>
        <v>9.3248115372009188</v>
      </c>
      <c r="G182" s="131">
        <f t="shared" si="119"/>
        <v>8.7096280422470542</v>
      </c>
      <c r="H182" s="131">
        <f t="shared" si="119"/>
        <v>8.0938833570412534</v>
      </c>
      <c r="I182" s="131">
        <f t="shared" si="119"/>
        <v>7.477986594821922</v>
      </c>
      <c r="J182" s="131">
        <f t="shared" si="119"/>
        <v>6.781479053691676</v>
      </c>
      <c r="K182" s="131">
        <f t="shared" si="119"/>
        <v>5.9382174911292003</v>
      </c>
      <c r="L182" s="131">
        <f t="shared" si="119"/>
        <v>4.8651190628874357</v>
      </c>
      <c r="M182" s="131">
        <f t="shared" si="119"/>
        <v>3.4766138148046317</v>
      </c>
      <c r="N182" s="131">
        <f t="shared" si="119"/>
        <v>3.393773112250984</v>
      </c>
    </row>
    <row r="183" spans="1:16" x14ac:dyDescent="0.25">
      <c r="B183" s="129"/>
    </row>
    <row r="184" spans="1:16" x14ac:dyDescent="0.25">
      <c r="A184" t="s">
        <v>301</v>
      </c>
      <c r="B184" s="129"/>
      <c r="C184" s="15" t="s">
        <v>243</v>
      </c>
      <c r="D184" s="15" t="s">
        <v>233</v>
      </c>
      <c r="E184" s="15" t="s">
        <v>232</v>
      </c>
      <c r="F184" s="15" t="s">
        <v>234</v>
      </c>
      <c r="G184" s="15" t="s">
        <v>235</v>
      </c>
      <c r="H184" s="15" t="s">
        <v>236</v>
      </c>
      <c r="I184" s="15" t="s">
        <v>237</v>
      </c>
      <c r="J184" s="15" t="s">
        <v>238</v>
      </c>
      <c r="K184" s="15" t="s">
        <v>239</v>
      </c>
      <c r="L184" s="15" t="s">
        <v>240</v>
      </c>
      <c r="M184" s="15" t="s">
        <v>241</v>
      </c>
      <c r="N184" s="15" t="s">
        <v>242</v>
      </c>
    </row>
    <row r="185" spans="1:16" ht="14.4" x14ac:dyDescent="0.3">
      <c r="C185" s="123"/>
      <c r="D185" s="124">
        <f>VLOOKUP($A184,'KAVVV Records &amp; age-grading'!$A$30:$AF$55,20,FALSE)</f>
        <v>1.1100000000000001</v>
      </c>
      <c r="E185" s="124">
        <f>VLOOKUP($A184,'KAVVV Records &amp; age-grading'!$A$30:$AF$55,21,FALSE)</f>
        <v>1.1942999999999999</v>
      </c>
      <c r="F185" s="124">
        <f>VLOOKUP($A184,'KAVVV Records &amp; age-grading'!$A$30:$AF$55,22,FALSE)</f>
        <v>1.2606999999999999</v>
      </c>
      <c r="G185" s="124">
        <f>VLOOKUP($A184,'KAVVV Records &amp; age-grading'!$A$30:$AF$55,23,FALSE)</f>
        <v>1.3706</v>
      </c>
      <c r="H185" s="124">
        <f>VLOOKUP($A184,'KAVVV Records &amp; age-grading'!$A$30:$AF$55,24,FALSE)</f>
        <v>1.5015000000000001</v>
      </c>
      <c r="I185" s="124">
        <f>VLOOKUP($A184,'KAVVV Records &amp; age-grading'!$A$30:$AF$55,25,FALSE)</f>
        <v>1.66</v>
      </c>
      <c r="J185" s="124">
        <f>VLOOKUP($A184,'KAVVV Records &amp; age-grading'!$A$30:$AF$55,26,FALSE)</f>
        <v>1.8559000000000001</v>
      </c>
      <c r="K185" s="124">
        <f>VLOOKUP($A184,'KAVVV Records &amp; age-grading'!$A$30:$AF$55,27,FALSE)</f>
        <v>1.8324</v>
      </c>
      <c r="L185" s="124">
        <f>VLOOKUP($A184,'KAVVV Records &amp; age-grading'!$A$30:$AF$55,28,FALSE)</f>
        <v>2.0741999999999998</v>
      </c>
      <c r="M185" s="124">
        <f>VLOOKUP($A184,'KAVVV Records &amp; age-grading'!$A$30:$AF$55,29,FALSE)</f>
        <v>2.3894000000000002</v>
      </c>
      <c r="N185" s="124">
        <f>VLOOKUP($A184,'KAVVV Records &amp; age-grading'!$A$30:$AF$55,30,FALSE)</f>
        <v>2.8176000000000001</v>
      </c>
      <c r="O185" s="124"/>
      <c r="P185" s="124"/>
    </row>
    <row r="186" spans="1:16" x14ac:dyDescent="0.25">
      <c r="A186" s="118">
        <f>Puntenberekening!$AG$22</f>
        <v>-0.45</v>
      </c>
      <c r="B186" s="130">
        <v>6</v>
      </c>
      <c r="C186" s="8">
        <f>C191*(1+$A186)</f>
        <v>6.682500000000001</v>
      </c>
      <c r="D186" s="131">
        <f t="shared" ref="D186:N186" si="120">$C186/D185</f>
        <v>6.0202702702702711</v>
      </c>
      <c r="E186" s="131">
        <f t="shared" si="120"/>
        <v>5.595327807083649</v>
      </c>
      <c r="F186" s="131">
        <f t="shared" si="120"/>
        <v>5.3006266359958767</v>
      </c>
      <c r="G186" s="131">
        <f t="shared" si="120"/>
        <v>4.8756019261637249</v>
      </c>
      <c r="H186" s="131">
        <f t="shared" si="120"/>
        <v>4.4505494505494507</v>
      </c>
      <c r="I186" s="131">
        <f t="shared" si="120"/>
        <v>4.0256024096385552</v>
      </c>
      <c r="J186" s="131">
        <f t="shared" si="120"/>
        <v>3.6006789158898651</v>
      </c>
      <c r="K186" s="131">
        <f t="shared" si="120"/>
        <v>3.646856581532417</v>
      </c>
      <c r="L186" s="131">
        <f t="shared" si="120"/>
        <v>3.2217240381833969</v>
      </c>
      <c r="M186" s="131">
        <f t="shared" si="120"/>
        <v>2.7967272118523478</v>
      </c>
      <c r="N186" s="131">
        <f t="shared" si="120"/>
        <v>2.3716993185689952</v>
      </c>
    </row>
    <row r="187" spans="1:16" x14ac:dyDescent="0.25">
      <c r="A187" s="118">
        <f>Puntenberekening!$AG$21</f>
        <v>-0.33</v>
      </c>
      <c r="B187" s="130">
        <v>7</v>
      </c>
      <c r="C187" s="8">
        <f>C191*(1+$A187)</f>
        <v>8.1404999999999994</v>
      </c>
      <c r="D187" s="131">
        <f t="shared" ref="D187:N187" si="121">$C187/D185</f>
        <v>7.3337837837837823</v>
      </c>
      <c r="E187" s="131">
        <f t="shared" si="121"/>
        <v>6.8161266013564434</v>
      </c>
      <c r="F187" s="131">
        <f t="shared" si="121"/>
        <v>6.45712699294043</v>
      </c>
      <c r="G187" s="131">
        <f t="shared" si="121"/>
        <v>5.939369619144899</v>
      </c>
      <c r="H187" s="131">
        <f t="shared" si="121"/>
        <v>5.4215784215784213</v>
      </c>
      <c r="I187" s="131">
        <f t="shared" si="121"/>
        <v>4.9039156626506024</v>
      </c>
      <c r="J187" s="131">
        <f t="shared" si="121"/>
        <v>4.3862815884476527</v>
      </c>
      <c r="K187" s="131">
        <f t="shared" si="121"/>
        <v>4.4425343811394891</v>
      </c>
      <c r="L187" s="131">
        <f t="shared" si="121"/>
        <v>3.9246456465143189</v>
      </c>
      <c r="M187" s="131">
        <f t="shared" si="121"/>
        <v>3.4069222398928596</v>
      </c>
      <c r="N187" s="131">
        <f t="shared" si="121"/>
        <v>2.8891609880749569</v>
      </c>
    </row>
    <row r="188" spans="1:16" x14ac:dyDescent="0.25">
      <c r="A188" s="118">
        <f>Puntenberekening!$AG$20</f>
        <v>-0.22500000000000001</v>
      </c>
      <c r="B188" s="130">
        <v>8</v>
      </c>
      <c r="C188" s="8">
        <f>C191*(1+$A188)</f>
        <v>9.4162499999999998</v>
      </c>
      <c r="D188" s="131">
        <f t="shared" ref="D188:N188" si="122">$C188/D185</f>
        <v>8.483108108108107</v>
      </c>
      <c r="E188" s="131">
        <f t="shared" si="122"/>
        <v>7.8843255463451394</v>
      </c>
      <c r="F188" s="131">
        <f t="shared" si="122"/>
        <v>7.4690648052669157</v>
      </c>
      <c r="G188" s="131">
        <f t="shared" si="122"/>
        <v>6.8701663505034292</v>
      </c>
      <c r="H188" s="131">
        <f t="shared" si="122"/>
        <v>6.2712287712287704</v>
      </c>
      <c r="I188" s="131">
        <f t="shared" si="122"/>
        <v>5.6724397590361448</v>
      </c>
      <c r="J188" s="131">
        <f t="shared" si="122"/>
        <v>5.0736839269357183</v>
      </c>
      <c r="K188" s="131">
        <f t="shared" si="122"/>
        <v>5.1387524557956779</v>
      </c>
      <c r="L188" s="131">
        <f t="shared" si="122"/>
        <v>4.5397020538038761</v>
      </c>
      <c r="M188" s="131">
        <f t="shared" si="122"/>
        <v>3.9408428894283078</v>
      </c>
      <c r="N188" s="131">
        <f t="shared" si="122"/>
        <v>3.3419399488926742</v>
      </c>
    </row>
    <row r="189" spans="1:16" x14ac:dyDescent="0.25">
      <c r="A189" s="118">
        <f>Puntenberekening!$AG$19</f>
        <v>-0.13500000000000001</v>
      </c>
      <c r="B189" s="130">
        <v>9</v>
      </c>
      <c r="C189" s="8">
        <f>C191*(1+$A189)</f>
        <v>10.50975</v>
      </c>
      <c r="D189" s="131">
        <f t="shared" ref="D189:N189" si="123">$C189/D185</f>
        <v>9.4682432432432435</v>
      </c>
      <c r="E189" s="131">
        <f t="shared" si="123"/>
        <v>8.7999246420497368</v>
      </c>
      <c r="F189" s="131">
        <f t="shared" si="123"/>
        <v>8.3364400729753321</v>
      </c>
      <c r="G189" s="131">
        <f t="shared" si="123"/>
        <v>7.6679921202393109</v>
      </c>
      <c r="H189" s="131">
        <f t="shared" si="123"/>
        <v>6.9995004995004999</v>
      </c>
      <c r="I189" s="131">
        <f t="shared" si="123"/>
        <v>6.3311746987951816</v>
      </c>
      <c r="J189" s="131">
        <f t="shared" si="123"/>
        <v>5.6628859313540598</v>
      </c>
      <c r="K189" s="131">
        <f t="shared" si="123"/>
        <v>5.735510805500982</v>
      </c>
      <c r="L189" s="131">
        <f t="shared" si="123"/>
        <v>5.0668932600520691</v>
      </c>
      <c r="M189" s="131">
        <f t="shared" si="123"/>
        <v>4.3984891604586922</v>
      </c>
      <c r="N189" s="131">
        <f t="shared" si="123"/>
        <v>3.7300362010221466</v>
      </c>
    </row>
    <row r="190" spans="1:16" x14ac:dyDescent="0.25">
      <c r="A190" s="118">
        <f>Puntenberekening!$AG$18</f>
        <v>-0.06</v>
      </c>
      <c r="B190" s="130">
        <v>10</v>
      </c>
      <c r="C190" s="8">
        <f>C191*(1+$A190)</f>
        <v>11.420999999999999</v>
      </c>
      <c r="D190" s="131">
        <f t="shared" ref="D190:N190" si="124">$C190/D185</f>
        <v>10.289189189189187</v>
      </c>
      <c r="E190" s="131">
        <f t="shared" si="124"/>
        <v>9.5629238884702339</v>
      </c>
      <c r="F190" s="131">
        <f t="shared" si="124"/>
        <v>9.0592527960656781</v>
      </c>
      <c r="G190" s="131">
        <f t="shared" si="124"/>
        <v>8.332846928352545</v>
      </c>
      <c r="H190" s="131">
        <f t="shared" si="124"/>
        <v>7.6063936063936053</v>
      </c>
      <c r="I190" s="131">
        <f t="shared" si="124"/>
        <v>6.8801204819277109</v>
      </c>
      <c r="J190" s="131">
        <f t="shared" si="124"/>
        <v>6.1538876017026771</v>
      </c>
      <c r="K190" s="131">
        <f t="shared" si="124"/>
        <v>6.2328094302554025</v>
      </c>
      <c r="L190" s="131">
        <f t="shared" si="124"/>
        <v>5.5062192652588955</v>
      </c>
      <c r="M190" s="131">
        <f t="shared" si="124"/>
        <v>4.7798610529840122</v>
      </c>
      <c r="N190" s="131">
        <f t="shared" si="124"/>
        <v>4.0534497444633724</v>
      </c>
    </row>
    <row r="191" spans="1:16" x14ac:dyDescent="0.25">
      <c r="A191" s="118">
        <f>Puntenberekening!$AG$17</f>
        <v>0</v>
      </c>
      <c r="B191" s="130">
        <v>11</v>
      </c>
      <c r="C191" s="132">
        <f>VLOOKUP(A184,'KAVVV Records &amp; age-grading'!$A$30:$C$55,3,FALSE)</f>
        <v>12.15</v>
      </c>
      <c r="D191" s="131">
        <f t="shared" ref="D191:N191" si="125">$C191/D185</f>
        <v>10.945945945945946</v>
      </c>
      <c r="E191" s="131">
        <f t="shared" si="125"/>
        <v>10.173323285606633</v>
      </c>
      <c r="F191" s="131">
        <f t="shared" si="125"/>
        <v>9.6375029745379557</v>
      </c>
      <c r="G191" s="131">
        <f t="shared" si="125"/>
        <v>8.8647307748431352</v>
      </c>
      <c r="H191" s="131">
        <f t="shared" si="125"/>
        <v>8.0919080919080919</v>
      </c>
      <c r="I191" s="131">
        <f t="shared" si="125"/>
        <v>7.3192771084337354</v>
      </c>
      <c r="J191" s="131">
        <f t="shared" si="125"/>
        <v>6.546688937981572</v>
      </c>
      <c r="K191" s="131">
        <f t="shared" si="125"/>
        <v>6.6306483300589392</v>
      </c>
      <c r="L191" s="131">
        <f t="shared" si="125"/>
        <v>5.8576800694243571</v>
      </c>
      <c r="M191" s="131">
        <f t="shared" si="125"/>
        <v>5.0849585670042687</v>
      </c>
      <c r="N191" s="131">
        <f t="shared" si="125"/>
        <v>4.3121805792163546</v>
      </c>
    </row>
    <row r="192" spans="1:16" x14ac:dyDescent="0.25">
      <c r="B192" s="129"/>
    </row>
    <row r="193" spans="1:16" x14ac:dyDescent="0.25">
      <c r="A193" t="s">
        <v>300</v>
      </c>
      <c r="B193" s="129"/>
      <c r="C193" s="15" t="s">
        <v>243</v>
      </c>
      <c r="D193" s="15" t="s">
        <v>233</v>
      </c>
      <c r="E193" s="15" t="s">
        <v>232</v>
      </c>
      <c r="F193" s="15" t="s">
        <v>234</v>
      </c>
      <c r="G193" s="15" t="s">
        <v>235</v>
      </c>
      <c r="H193" s="15" t="s">
        <v>236</v>
      </c>
      <c r="I193" s="15" t="s">
        <v>237</v>
      </c>
      <c r="J193" s="15" t="s">
        <v>238</v>
      </c>
      <c r="K193" s="15" t="s">
        <v>239</v>
      </c>
      <c r="L193" s="15" t="s">
        <v>240</v>
      </c>
      <c r="M193" s="15" t="s">
        <v>241</v>
      </c>
      <c r="N193" s="15" t="s">
        <v>242</v>
      </c>
    </row>
    <row r="194" spans="1:16" ht="14.4" x14ac:dyDescent="0.3">
      <c r="C194" s="123"/>
      <c r="D194" s="124">
        <f>VLOOKUP($A193,'KAVVV Records &amp; age-grading'!$A$30:$AF$55,20,FALSE)</f>
        <v>1.1475</v>
      </c>
      <c r="E194" s="124">
        <f>VLOOKUP($A193,'KAVVV Records &amp; age-grading'!$A$30:$AF$55,21,FALSE)</f>
        <v>1.2479</v>
      </c>
      <c r="F194" s="124">
        <f>VLOOKUP($A193,'KAVVV Records &amp; age-grading'!$A$30:$AF$55,22,FALSE)</f>
        <v>1.3147</v>
      </c>
      <c r="G194" s="124">
        <f>VLOOKUP($A193,'KAVVV Records &amp; age-grading'!$A$30:$AF$55,23,FALSE)</f>
        <v>1.4481999999999999</v>
      </c>
      <c r="H194" s="124">
        <f>VLOOKUP($A193,'KAVVV Records &amp; age-grading'!$A$30:$AF$55,24,FALSE)</f>
        <v>1.5407999999999999</v>
      </c>
      <c r="I194" s="124">
        <f>VLOOKUP($A193,'KAVVV Records &amp; age-grading'!$A$30:$AF$55,25,FALSE)</f>
        <v>1.7274</v>
      </c>
      <c r="J194" s="124">
        <f>VLOOKUP($A193,'KAVVV Records &amp; age-grading'!$A$30:$AF$55,26,FALSE)</f>
        <v>1.9654</v>
      </c>
      <c r="K194" s="124">
        <f>VLOOKUP($A193,'KAVVV Records &amp; age-grading'!$A$30:$AF$55,27,FALSE)</f>
        <v>2.2793999999999999</v>
      </c>
      <c r="L194" s="124">
        <f>VLOOKUP($A193,'KAVVV Records &amp; age-grading'!$A$30:$AF$55,28,FALSE)</f>
        <v>2.7128999999999999</v>
      </c>
      <c r="M194" s="124">
        <f>VLOOKUP($A193,'KAVVV Records &amp; age-grading'!$A$30:$AF$55,29,FALSE)</f>
        <v>3.35</v>
      </c>
      <c r="N194" s="124">
        <f>VLOOKUP($A193,'KAVVV Records &amp; age-grading'!$A$30:$AF$55,30,FALSE)</f>
        <v>4.3781999999999996</v>
      </c>
      <c r="O194" s="124"/>
      <c r="P194" s="124"/>
    </row>
    <row r="195" spans="1:16" x14ac:dyDescent="0.25">
      <c r="A195" s="118">
        <f>Puntenberekening!$AG$22</f>
        <v>-0.45</v>
      </c>
      <c r="B195" s="130">
        <v>6</v>
      </c>
      <c r="C195" s="8">
        <f>C200*(1+$A195)</f>
        <v>18.512999999999998</v>
      </c>
      <c r="D195" s="131">
        <f t="shared" ref="D195:N195" si="126">$C195/D194</f>
        <v>16.133333333333333</v>
      </c>
      <c r="E195" s="131">
        <f t="shared" si="126"/>
        <v>14.835323343216603</v>
      </c>
      <c r="F195" s="131">
        <f t="shared" si="126"/>
        <v>14.081539514718186</v>
      </c>
      <c r="G195" s="131">
        <f t="shared" si="126"/>
        <v>12.783455323850296</v>
      </c>
      <c r="H195" s="131">
        <f t="shared" si="126"/>
        <v>12.015186915887849</v>
      </c>
      <c r="I195" s="131">
        <f t="shared" si="126"/>
        <v>10.717262938520317</v>
      </c>
      <c r="J195" s="131">
        <f t="shared" si="126"/>
        <v>9.4194565991655637</v>
      </c>
      <c r="K195" s="131">
        <f t="shared" si="126"/>
        <v>8.1218741774151084</v>
      </c>
      <c r="L195" s="131">
        <f t="shared" si="126"/>
        <v>6.824062811014044</v>
      </c>
      <c r="M195" s="131">
        <f t="shared" si="126"/>
        <v>5.5262686567164172</v>
      </c>
      <c r="N195" s="131">
        <f t="shared" si="126"/>
        <v>4.228450047964917</v>
      </c>
    </row>
    <row r="196" spans="1:16" x14ac:dyDescent="0.25">
      <c r="A196" s="118">
        <f>Puntenberekening!$AG$21</f>
        <v>-0.33</v>
      </c>
      <c r="B196" s="130">
        <v>7</v>
      </c>
      <c r="C196" s="8">
        <f>C200*(1+$A196)</f>
        <v>22.552199999999996</v>
      </c>
      <c r="D196" s="131">
        <f t="shared" ref="D196:N196" si="127">$C196/D194</f>
        <v>19.653333333333329</v>
      </c>
      <c r="E196" s="131">
        <f t="shared" si="127"/>
        <v>18.072121163554769</v>
      </c>
      <c r="F196" s="131">
        <f t="shared" si="127"/>
        <v>17.153875408838516</v>
      </c>
      <c r="G196" s="131">
        <f t="shared" si="127"/>
        <v>15.572572849053996</v>
      </c>
      <c r="H196" s="131">
        <f t="shared" si="127"/>
        <v>14.636682242990652</v>
      </c>
      <c r="I196" s="131">
        <f t="shared" si="127"/>
        <v>13.055574852379296</v>
      </c>
      <c r="J196" s="131">
        <f t="shared" si="127"/>
        <v>11.47461076625623</v>
      </c>
      <c r="K196" s="131">
        <f t="shared" si="127"/>
        <v>9.8939194524874949</v>
      </c>
      <c r="L196" s="131">
        <f t="shared" si="127"/>
        <v>8.3129492425080151</v>
      </c>
      <c r="M196" s="131">
        <f t="shared" si="127"/>
        <v>6.7319999999999984</v>
      </c>
      <c r="N196" s="131">
        <f t="shared" si="127"/>
        <v>5.151020967520898</v>
      </c>
    </row>
    <row r="197" spans="1:16" x14ac:dyDescent="0.25">
      <c r="A197" s="118">
        <f>Puntenberekening!$AG$20</f>
        <v>-0.22500000000000001</v>
      </c>
      <c r="B197" s="130">
        <v>8</v>
      </c>
      <c r="C197" s="8">
        <f>C200*(1+$A197)</f>
        <v>26.086499999999997</v>
      </c>
      <c r="D197" s="131">
        <f t="shared" ref="D197:N197" si="128">$C197/D194</f>
        <v>22.733333333333331</v>
      </c>
      <c r="E197" s="131">
        <f t="shared" si="128"/>
        <v>20.904319256350668</v>
      </c>
      <c r="F197" s="131">
        <f t="shared" si="128"/>
        <v>19.842169316193807</v>
      </c>
      <c r="G197" s="131">
        <f t="shared" si="128"/>
        <v>18.013050683607236</v>
      </c>
      <c r="H197" s="131">
        <f t="shared" si="128"/>
        <v>16.930490654205606</v>
      </c>
      <c r="I197" s="131">
        <f t="shared" si="128"/>
        <v>15.101597777005903</v>
      </c>
      <c r="J197" s="131">
        <f t="shared" si="128"/>
        <v>13.272870662460566</v>
      </c>
      <c r="K197" s="131">
        <f t="shared" si="128"/>
        <v>11.444459068175835</v>
      </c>
      <c r="L197" s="131">
        <f t="shared" si="128"/>
        <v>9.6157248700652431</v>
      </c>
      <c r="M197" s="131">
        <f t="shared" si="128"/>
        <v>7.7870149253731329</v>
      </c>
      <c r="N197" s="131">
        <f t="shared" si="128"/>
        <v>5.9582705221323833</v>
      </c>
    </row>
    <row r="198" spans="1:16" x14ac:dyDescent="0.25">
      <c r="A198" s="118">
        <f>Puntenberekening!$AG$19</f>
        <v>-0.13500000000000001</v>
      </c>
      <c r="B198" s="130">
        <v>9</v>
      </c>
      <c r="C198" s="8">
        <f>C200*(1+$A198)</f>
        <v>29.115899999999996</v>
      </c>
      <c r="D198" s="131">
        <f t="shared" ref="D198:N198" si="129">$C198/D194</f>
        <v>25.373333333333331</v>
      </c>
      <c r="E198" s="131">
        <f t="shared" si="129"/>
        <v>23.331917621604291</v>
      </c>
      <c r="F198" s="131">
        <f t="shared" si="129"/>
        <v>22.146421236784054</v>
      </c>
      <c r="G198" s="131">
        <f t="shared" si="129"/>
        <v>20.10488882751001</v>
      </c>
      <c r="H198" s="131">
        <f t="shared" si="129"/>
        <v>18.896612149532707</v>
      </c>
      <c r="I198" s="131">
        <f t="shared" si="129"/>
        <v>16.855331712400137</v>
      </c>
      <c r="J198" s="131">
        <f t="shared" si="129"/>
        <v>14.814236287778566</v>
      </c>
      <c r="K198" s="131">
        <f t="shared" si="129"/>
        <v>12.773493024480125</v>
      </c>
      <c r="L198" s="131">
        <f t="shared" si="129"/>
        <v>10.732389693685723</v>
      </c>
      <c r="M198" s="131">
        <f t="shared" si="129"/>
        <v>8.6913134328358197</v>
      </c>
      <c r="N198" s="131">
        <f t="shared" si="129"/>
        <v>6.6501987117993693</v>
      </c>
    </row>
    <row r="199" spans="1:16" x14ac:dyDescent="0.25">
      <c r="A199" s="118">
        <f>Puntenberekening!$AG$18</f>
        <v>-0.06</v>
      </c>
      <c r="B199" s="130">
        <v>10</v>
      </c>
      <c r="C199" s="8">
        <f>C200*(1+$A199)</f>
        <v>31.640399999999996</v>
      </c>
      <c r="D199" s="131">
        <f t="shared" ref="D199:N199" si="130">$C199/D194</f>
        <v>27.573333333333331</v>
      </c>
      <c r="E199" s="131">
        <f t="shared" si="130"/>
        <v>25.354916259315647</v>
      </c>
      <c r="F199" s="131">
        <f t="shared" si="130"/>
        <v>24.066631170609263</v>
      </c>
      <c r="G199" s="131">
        <f t="shared" si="130"/>
        <v>21.848087280762325</v>
      </c>
      <c r="H199" s="131">
        <f t="shared" si="130"/>
        <v>20.53504672897196</v>
      </c>
      <c r="I199" s="131">
        <f t="shared" si="130"/>
        <v>18.316776658561999</v>
      </c>
      <c r="J199" s="131">
        <f t="shared" si="130"/>
        <v>16.098707642210236</v>
      </c>
      <c r="K199" s="131">
        <f t="shared" si="130"/>
        <v>13.881021321400368</v>
      </c>
      <c r="L199" s="131">
        <f t="shared" si="130"/>
        <v>11.662943713369456</v>
      </c>
      <c r="M199" s="131">
        <f t="shared" si="130"/>
        <v>9.4448955223880589</v>
      </c>
      <c r="N199" s="131">
        <f t="shared" si="130"/>
        <v>7.2268055365218578</v>
      </c>
    </row>
    <row r="200" spans="1:16" x14ac:dyDescent="0.25">
      <c r="A200" s="118">
        <f>Puntenberekening!$AG$17</f>
        <v>0</v>
      </c>
      <c r="B200" s="130">
        <v>11</v>
      </c>
      <c r="C200" s="132">
        <f>VLOOKUP(A193,'KAVVV Records &amp; age-grading'!$A$30:$C$55,3,FALSE)</f>
        <v>33.659999999999997</v>
      </c>
      <c r="D200" s="131">
        <f t="shared" ref="D200:N200" si="131">$C200/D194</f>
        <v>29.333333333333332</v>
      </c>
      <c r="E200" s="131">
        <f t="shared" si="131"/>
        <v>26.973315169484732</v>
      </c>
      <c r="F200" s="131">
        <f t="shared" si="131"/>
        <v>25.602799117669427</v>
      </c>
      <c r="G200" s="131">
        <f t="shared" si="131"/>
        <v>23.242646043364175</v>
      </c>
      <c r="H200" s="131">
        <f t="shared" si="131"/>
        <v>21.845794392523363</v>
      </c>
      <c r="I200" s="131">
        <f t="shared" si="131"/>
        <v>19.485932615491489</v>
      </c>
      <c r="J200" s="131">
        <f t="shared" si="131"/>
        <v>17.126284725755568</v>
      </c>
      <c r="K200" s="131">
        <f t="shared" si="131"/>
        <v>14.767043958936561</v>
      </c>
      <c r="L200" s="131">
        <f t="shared" si="131"/>
        <v>12.407386929116443</v>
      </c>
      <c r="M200" s="131">
        <f t="shared" si="131"/>
        <v>10.047761194029849</v>
      </c>
      <c r="N200" s="131">
        <f t="shared" si="131"/>
        <v>7.6880909962998487</v>
      </c>
    </row>
    <row r="201" spans="1:16" x14ac:dyDescent="0.25">
      <c r="B201" s="129"/>
    </row>
    <row r="202" spans="1:16" x14ac:dyDescent="0.25">
      <c r="A202" t="s">
        <v>302</v>
      </c>
      <c r="B202" s="129"/>
      <c r="C202" s="15" t="s">
        <v>243</v>
      </c>
      <c r="D202" s="15" t="s">
        <v>233</v>
      </c>
      <c r="E202" s="15" t="s">
        <v>232</v>
      </c>
      <c r="F202" s="15" t="s">
        <v>234</v>
      </c>
      <c r="G202" s="15" t="s">
        <v>235</v>
      </c>
      <c r="H202" s="15" t="s">
        <v>236</v>
      </c>
      <c r="I202" s="15" t="s">
        <v>237</v>
      </c>
      <c r="J202" s="15" t="s">
        <v>238</v>
      </c>
      <c r="K202" s="15" t="s">
        <v>239</v>
      </c>
      <c r="L202" s="15" t="s">
        <v>240</v>
      </c>
      <c r="M202" s="15" t="s">
        <v>241</v>
      </c>
      <c r="N202" s="15" t="s">
        <v>242</v>
      </c>
    </row>
    <row r="203" spans="1:16" ht="14.4" x14ac:dyDescent="0.3">
      <c r="C203" s="123"/>
      <c r="D203" s="124">
        <f>VLOOKUP($A202,'KAVVV Records &amp; age-grading'!$A$30:$AF$56,20,FALSE)</f>
        <v>1.115</v>
      </c>
      <c r="E203" s="124">
        <f>VLOOKUP($A202,'KAVVV Records &amp; age-grading'!$A$30:$AF$56,21,FALSE)</f>
        <v>1.2058</v>
      </c>
      <c r="F203" s="124">
        <f>VLOOKUP($A202,'KAVVV Records &amp; age-grading'!$A$30:$AF$56,22,FALSE)</f>
        <v>1.3128</v>
      </c>
      <c r="G203" s="124">
        <f>VLOOKUP($A202,'KAVVV Records &amp; age-grading'!$A$30:$AF$56,23,FALSE)</f>
        <v>1.4407000000000001</v>
      </c>
      <c r="H203" s="124">
        <f>VLOOKUP($A202,'KAVVV Records &amp; age-grading'!$A$30:$AF$56,24,FALSE)</f>
        <v>1.5961000000000001</v>
      </c>
      <c r="I203" s="124">
        <f>VLOOKUP($A202,'KAVVV Records &amp; age-grading'!$A$30:$AF$56,25,FALSE)</f>
        <v>1.7927</v>
      </c>
      <c r="J203" s="124">
        <f>VLOOKUP($A202,'KAVVV Records &amp; age-grading'!$A$30:$AF$56,26,FALSE)</f>
        <v>2.0541999999999998</v>
      </c>
      <c r="K203" s="124">
        <f>VLOOKUP($A202,'KAVVV Records &amp; age-grading'!$A$30:$AF$56,27,FALSE)</f>
        <v>2.1545999999999998</v>
      </c>
      <c r="L203" s="124">
        <f>VLOOKUP($A202,'KAVVV Records &amp; age-grading'!$A$30:$AF$56,28,FALSE)</f>
        <v>2.5219999999999998</v>
      </c>
      <c r="M203" s="124">
        <f>VLOOKUP($A202,'KAVVV Records &amp; age-grading'!$A$30:$AF$56,29,FALSE)</f>
        <v>3.0404</v>
      </c>
      <c r="N203" s="124">
        <f>VLOOKUP($A202,'KAVVV Records &amp; age-grading'!$A$30:$AF$56,30,FALSE)</f>
        <v>3.827</v>
      </c>
      <c r="O203" s="124"/>
      <c r="P203" s="124"/>
    </row>
    <row r="204" spans="1:16" x14ac:dyDescent="0.25">
      <c r="A204" s="118">
        <f>Puntenberekening!$AG$22</f>
        <v>-0.45</v>
      </c>
      <c r="B204" s="130">
        <v>6</v>
      </c>
      <c r="C204" s="8">
        <f>C209*(1+$A204)</f>
        <v>21.725000000000001</v>
      </c>
      <c r="D204" s="131">
        <f t="shared" ref="D204:N204" si="132">$C204/D203</f>
        <v>19.484304932735427</v>
      </c>
      <c r="E204" s="131">
        <f t="shared" si="132"/>
        <v>18.017084093547854</v>
      </c>
      <c r="F204" s="131">
        <f t="shared" si="132"/>
        <v>16.548598415600246</v>
      </c>
      <c r="G204" s="131">
        <f t="shared" si="132"/>
        <v>15.079475255084335</v>
      </c>
      <c r="H204" s="131">
        <f t="shared" si="132"/>
        <v>13.611302549965542</v>
      </c>
      <c r="I204" s="131">
        <f t="shared" si="132"/>
        <v>12.118592067830647</v>
      </c>
      <c r="J204" s="131">
        <f t="shared" si="132"/>
        <v>10.575893291792427</v>
      </c>
      <c r="K204" s="131">
        <f t="shared" si="132"/>
        <v>10.083078065534208</v>
      </c>
      <c r="L204" s="131">
        <f t="shared" si="132"/>
        <v>8.6141950832672496</v>
      </c>
      <c r="M204" s="131">
        <f t="shared" si="132"/>
        <v>7.145441389290883</v>
      </c>
      <c r="N204" s="131">
        <f t="shared" si="132"/>
        <v>5.67677031617455</v>
      </c>
    </row>
    <row r="205" spans="1:16" x14ac:dyDescent="0.25">
      <c r="A205" s="118">
        <f>Puntenberekening!$AG$21</f>
        <v>-0.33</v>
      </c>
      <c r="B205" s="130">
        <v>7</v>
      </c>
      <c r="C205" s="8">
        <f>C209*(1+$A205)</f>
        <v>26.464999999999996</v>
      </c>
      <c r="D205" s="131">
        <f t="shared" ref="D205:N205" si="133">$C205/D203</f>
        <v>23.735426008968606</v>
      </c>
      <c r="E205" s="131">
        <f t="shared" si="133"/>
        <v>21.948084259412834</v>
      </c>
      <c r="F205" s="131">
        <f t="shared" si="133"/>
        <v>20.159201706276658</v>
      </c>
      <c r="G205" s="131">
        <f t="shared" si="133"/>
        <v>18.369542583466366</v>
      </c>
      <c r="H205" s="131">
        <f t="shared" si="133"/>
        <v>16.581041288139836</v>
      </c>
      <c r="I205" s="131">
        <f t="shared" si="133"/>
        <v>14.762648518993695</v>
      </c>
      <c r="J205" s="131">
        <f t="shared" si="133"/>
        <v>12.88336091909259</v>
      </c>
      <c r="K205" s="131">
        <f t="shared" si="133"/>
        <v>12.283022370741667</v>
      </c>
      <c r="L205" s="131">
        <f t="shared" si="133"/>
        <v>10.493655828707375</v>
      </c>
      <c r="M205" s="131">
        <f t="shared" si="133"/>
        <v>8.7044467833179837</v>
      </c>
      <c r="N205" s="131">
        <f t="shared" si="133"/>
        <v>6.9153383851580861</v>
      </c>
    </row>
    <row r="206" spans="1:16" x14ac:dyDescent="0.25">
      <c r="A206" s="118">
        <f>Puntenberekening!$AG$20</f>
        <v>-0.22500000000000001</v>
      </c>
      <c r="B206" s="130">
        <v>8</v>
      </c>
      <c r="C206" s="8">
        <f>C209*(1+$A206)</f>
        <v>30.612500000000001</v>
      </c>
      <c r="D206" s="131">
        <f t="shared" ref="D206:N206" si="134">$C206/D203</f>
        <v>27.455156950672645</v>
      </c>
      <c r="E206" s="131">
        <f t="shared" si="134"/>
        <v>25.387709404544701</v>
      </c>
      <c r="F206" s="131">
        <f t="shared" si="134"/>
        <v>23.318479585618526</v>
      </c>
      <c r="G206" s="131">
        <f t="shared" si="134"/>
        <v>21.248351495800652</v>
      </c>
      <c r="H206" s="131">
        <f t="shared" si="134"/>
        <v>19.179562684042352</v>
      </c>
      <c r="I206" s="131">
        <f t="shared" si="134"/>
        <v>17.076197913761366</v>
      </c>
      <c r="J206" s="131">
        <f t="shared" si="134"/>
        <v>14.902395092980237</v>
      </c>
      <c r="K206" s="131">
        <f t="shared" si="134"/>
        <v>14.207973637798201</v>
      </c>
      <c r="L206" s="131">
        <f t="shared" si="134"/>
        <v>12.138183980967487</v>
      </c>
      <c r="M206" s="131">
        <f t="shared" si="134"/>
        <v>10.068576503091698</v>
      </c>
      <c r="N206" s="131">
        <f t="shared" si="134"/>
        <v>7.9990854455186833</v>
      </c>
    </row>
    <row r="207" spans="1:16" x14ac:dyDescent="0.25">
      <c r="A207" s="118">
        <f>Puntenberekening!$AG$19</f>
        <v>-0.13500000000000001</v>
      </c>
      <c r="B207" s="130">
        <v>9</v>
      </c>
      <c r="C207" s="8">
        <f>C209*(1+$A207)</f>
        <v>34.167499999999997</v>
      </c>
      <c r="D207" s="131">
        <f t="shared" ref="D207:N207" si="135">$C207/D203</f>
        <v>30.64349775784753</v>
      </c>
      <c r="E207" s="131">
        <f t="shared" si="135"/>
        <v>28.335959528943437</v>
      </c>
      <c r="F207" s="131">
        <f t="shared" si="135"/>
        <v>26.026432053625836</v>
      </c>
      <c r="G207" s="131">
        <f t="shared" si="135"/>
        <v>23.715901992087176</v>
      </c>
      <c r="H207" s="131">
        <f t="shared" si="135"/>
        <v>21.406866737673074</v>
      </c>
      <c r="I207" s="131">
        <f t="shared" si="135"/>
        <v>19.059240252133652</v>
      </c>
      <c r="J207" s="131">
        <f t="shared" si="135"/>
        <v>16.632995813455359</v>
      </c>
      <c r="K207" s="131">
        <f t="shared" si="135"/>
        <v>15.857931866703796</v>
      </c>
      <c r="L207" s="131">
        <f t="shared" si="135"/>
        <v>13.547779540047582</v>
      </c>
      <c r="M207" s="131">
        <f t="shared" si="135"/>
        <v>11.237830548612024</v>
      </c>
      <c r="N207" s="131">
        <f t="shared" si="135"/>
        <v>8.9280114972563354</v>
      </c>
    </row>
    <row r="208" spans="1:16" x14ac:dyDescent="0.25">
      <c r="A208" s="118">
        <f>Puntenberekening!$AG$18</f>
        <v>-0.06</v>
      </c>
      <c r="B208" s="130">
        <v>10</v>
      </c>
      <c r="C208" s="8">
        <f>C209*(1+$A208)</f>
        <v>37.129999999999995</v>
      </c>
      <c r="D208" s="131">
        <f t="shared" ref="D208:N208" si="136">$C208/D203</f>
        <v>33.300448430493269</v>
      </c>
      <c r="E208" s="131">
        <f t="shared" si="136"/>
        <v>30.792834632609054</v>
      </c>
      <c r="F208" s="131">
        <f t="shared" si="136"/>
        <v>28.283059110298595</v>
      </c>
      <c r="G208" s="131">
        <f t="shared" si="136"/>
        <v>25.772194072325949</v>
      </c>
      <c r="H208" s="131">
        <f t="shared" si="136"/>
        <v>23.262953449032011</v>
      </c>
      <c r="I208" s="131">
        <f t="shared" si="136"/>
        <v>20.711775534110558</v>
      </c>
      <c r="J208" s="131">
        <f t="shared" si="136"/>
        <v>18.075163080517964</v>
      </c>
      <c r="K208" s="131">
        <f t="shared" si="136"/>
        <v>17.232897057458459</v>
      </c>
      <c r="L208" s="131">
        <f t="shared" si="136"/>
        <v>14.72244250594766</v>
      </c>
      <c r="M208" s="131">
        <f t="shared" si="136"/>
        <v>12.212208919878961</v>
      </c>
      <c r="N208" s="131">
        <f t="shared" si="136"/>
        <v>9.7021165403710459</v>
      </c>
    </row>
    <row r="209" spans="1:16" x14ac:dyDescent="0.25">
      <c r="A209" s="118">
        <f>Puntenberekening!$AG$17</f>
        <v>0</v>
      </c>
      <c r="B209" s="130">
        <v>11</v>
      </c>
      <c r="C209" s="132">
        <f>VLOOKUP(A202,'KAVVV Records &amp; age-grading'!$A$30:$C$56,3,FALSE)</f>
        <v>39.5</v>
      </c>
      <c r="D209" s="131">
        <f t="shared" ref="D209:N209" si="137">$C209/D203</f>
        <v>35.426008968609864</v>
      </c>
      <c r="E209" s="131">
        <f t="shared" si="137"/>
        <v>32.758334715541551</v>
      </c>
      <c r="F209" s="131">
        <f t="shared" si="137"/>
        <v>30.088360755636806</v>
      </c>
      <c r="G209" s="131">
        <f t="shared" si="137"/>
        <v>27.417227736516971</v>
      </c>
      <c r="H209" s="131">
        <f t="shared" si="137"/>
        <v>24.747822818119165</v>
      </c>
      <c r="I209" s="131">
        <f t="shared" si="137"/>
        <v>22.033803759692084</v>
      </c>
      <c r="J209" s="131">
        <f t="shared" si="137"/>
        <v>19.228896894168049</v>
      </c>
      <c r="K209" s="131">
        <f t="shared" si="137"/>
        <v>18.332869210062192</v>
      </c>
      <c r="L209" s="131">
        <f t="shared" si="137"/>
        <v>15.662172878667725</v>
      </c>
      <c r="M209" s="131">
        <f t="shared" si="137"/>
        <v>12.991711616892514</v>
      </c>
      <c r="N209" s="131">
        <f t="shared" si="137"/>
        <v>10.321400574862817</v>
      </c>
    </row>
    <row r="210" spans="1:16" x14ac:dyDescent="0.25">
      <c r="B210" s="129"/>
    </row>
    <row r="211" spans="1:16" x14ac:dyDescent="0.25">
      <c r="A211" s="14" t="s">
        <v>347</v>
      </c>
      <c r="B211" s="129"/>
    </row>
    <row r="212" spans="1:16" x14ac:dyDescent="0.25">
      <c r="B212" s="129"/>
    </row>
    <row r="213" spans="1:16" x14ac:dyDescent="0.25">
      <c r="A213" t="s">
        <v>245</v>
      </c>
      <c r="B213" s="129"/>
      <c r="C213" s="15" t="s">
        <v>243</v>
      </c>
      <c r="D213" s="15" t="s">
        <v>233</v>
      </c>
      <c r="E213" s="15" t="s">
        <v>232</v>
      </c>
      <c r="F213" s="15" t="s">
        <v>234</v>
      </c>
      <c r="G213" s="15" t="s">
        <v>235</v>
      </c>
      <c r="H213" s="15" t="s">
        <v>236</v>
      </c>
      <c r="I213" s="15" t="s">
        <v>237</v>
      </c>
      <c r="J213" s="15" t="s">
        <v>238</v>
      </c>
      <c r="K213" s="15" t="s">
        <v>239</v>
      </c>
      <c r="L213" s="15" t="s">
        <v>240</v>
      </c>
      <c r="M213" s="15" t="s">
        <v>241</v>
      </c>
      <c r="N213" s="15" t="s">
        <v>242</v>
      </c>
      <c r="O213" s="15"/>
      <c r="P213" s="15"/>
    </row>
    <row r="214" spans="1:16" ht="14.4" x14ac:dyDescent="0.3">
      <c r="C214" s="123"/>
      <c r="D214" s="124">
        <f>VLOOKUP($A213,'KAVVV Records &amp; age-grading'!$A$3:$AF$28,20,FALSE)</f>
        <v>0.95779999999999998</v>
      </c>
      <c r="E214" s="124">
        <f>VLOOKUP($A213,'KAVVV Records &amp; age-grading'!$A$3:$AF$28,21,FALSE)</f>
        <v>0.92869999999999997</v>
      </c>
      <c r="F214" s="124">
        <f>VLOOKUP($A213,'KAVVV Records &amp; age-grading'!$A$3:$AF$28,22,FALSE)</f>
        <v>0.89959999999999996</v>
      </c>
      <c r="G214" s="124">
        <f>VLOOKUP($A213,'KAVVV Records &amp; age-grading'!$A$3:$AF$28,23,FALSE)</f>
        <v>0.87050000000000005</v>
      </c>
      <c r="H214" s="124">
        <f>VLOOKUP($A213,'KAVVV Records &amp; age-grading'!$A$3:$AF$28,24,FALSE)</f>
        <v>0.84140000000000004</v>
      </c>
      <c r="I214" s="124">
        <f>VLOOKUP($A213,'KAVVV Records &amp; age-grading'!$A$3:$AF$28,25,FALSE)</f>
        <v>0.81110000000000004</v>
      </c>
      <c r="J214" s="124">
        <f>VLOOKUP($A213,'KAVVV Records &amp; age-grading'!$A$3:$AF$28,26,FALSE)</f>
        <v>0.7782</v>
      </c>
      <c r="K214" s="124">
        <f>VLOOKUP($A213,'KAVVV Records &amp; age-grading'!$A$3:$AF$28,27,FALSE)</f>
        <v>0.7409</v>
      </c>
      <c r="L214" s="124">
        <f>VLOOKUP($A213,'KAVVV Records &amp; age-grading'!$A$3:$AF$28,28,FALSE)</f>
        <v>0.69669999999999999</v>
      </c>
      <c r="M214" s="124">
        <f>VLOOKUP($A213,'KAVVV Records &amp; age-grading'!$A$3:$AF$28,29,FALSE)</f>
        <v>0.64229999999999998</v>
      </c>
      <c r="N214" s="124">
        <f>VLOOKUP($A213,'KAVVV Records &amp; age-grading'!$A$3:$AF$28,30,FALSE)</f>
        <v>0.57350000000000001</v>
      </c>
      <c r="O214" s="124"/>
      <c r="P214" s="124"/>
    </row>
    <row r="215" spans="1:16" x14ac:dyDescent="0.25">
      <c r="A215" s="118">
        <f>Puntenberekening!$I$22</f>
        <v>0.3</v>
      </c>
      <c r="B215" s="130">
        <v>6</v>
      </c>
      <c r="C215" s="120">
        <f>C220*(1+$A215)</f>
        <v>1.6174768518518521E-4</v>
      </c>
      <c r="D215" s="121">
        <f t="shared" ref="D215:N215" si="138">$C215/D214</f>
        <v>1.6887417538649532E-4</v>
      </c>
      <c r="E215" s="121">
        <f t="shared" si="138"/>
        <v>1.7416569956410597E-4</v>
      </c>
      <c r="F215" s="121">
        <f t="shared" si="138"/>
        <v>1.7979956112181548E-4</v>
      </c>
      <c r="G215" s="121">
        <f t="shared" si="138"/>
        <v>1.8581009211394048E-4</v>
      </c>
      <c r="H215" s="121">
        <f t="shared" si="138"/>
        <v>1.9223637412073353E-4</v>
      </c>
      <c r="I215" s="121">
        <f t="shared" si="138"/>
        <v>1.9941768608702404E-4</v>
      </c>
      <c r="J215" s="121">
        <f t="shared" si="138"/>
        <v>2.0784847749317042E-4</v>
      </c>
      <c r="K215" s="121">
        <f t="shared" si="138"/>
        <v>2.1831243782586746E-4</v>
      </c>
      <c r="L215" s="121">
        <f t="shared" si="138"/>
        <v>2.3216260253363746E-4</v>
      </c>
      <c r="M215" s="121">
        <f t="shared" si="138"/>
        <v>2.5182575927944141E-4</v>
      </c>
      <c r="N215" s="121">
        <f t="shared" si="138"/>
        <v>2.8203606832639093E-4</v>
      </c>
      <c r="O215" s="121"/>
      <c r="P215" s="122"/>
    </row>
    <row r="216" spans="1:16" x14ac:dyDescent="0.25">
      <c r="A216" s="118">
        <f>Puntenberekening!$I$21</f>
        <v>0.22</v>
      </c>
      <c r="B216" s="130">
        <v>7</v>
      </c>
      <c r="C216" s="120">
        <f>C220*(1+$A216)</f>
        <v>1.5179398148148148E-4</v>
      </c>
      <c r="D216" s="121">
        <f t="shared" ref="D216:N216" si="139">$C216/D214</f>
        <v>1.5848191843963405E-4</v>
      </c>
      <c r="E216" s="121">
        <f t="shared" si="139"/>
        <v>1.6344781036016097E-4</v>
      </c>
      <c r="F216" s="121">
        <f t="shared" si="139"/>
        <v>1.6873497274508836E-4</v>
      </c>
      <c r="G216" s="121">
        <f t="shared" si="139"/>
        <v>1.7437562490692874E-4</v>
      </c>
      <c r="H216" s="121">
        <f t="shared" si="139"/>
        <v>1.8040644340561144E-4</v>
      </c>
      <c r="I216" s="121">
        <f t="shared" si="139"/>
        <v>1.8714582848166868E-4</v>
      </c>
      <c r="J216" s="121">
        <f t="shared" si="139"/>
        <v>1.9505780195512912E-4</v>
      </c>
      <c r="K216" s="121">
        <f t="shared" si="139"/>
        <v>2.0487782626735254E-4</v>
      </c>
      <c r="L216" s="121">
        <f t="shared" si="139"/>
        <v>2.1787567314695205E-4</v>
      </c>
      <c r="M216" s="121">
        <f t="shared" si="139"/>
        <v>2.363287894776296E-4</v>
      </c>
      <c r="N216" s="121">
        <f t="shared" si="139"/>
        <v>2.6468000258322838E-4</v>
      </c>
      <c r="O216" s="121"/>
      <c r="P216" s="122"/>
    </row>
    <row r="217" spans="1:16" x14ac:dyDescent="0.25">
      <c r="A217" s="118">
        <f>Puntenberekening!$I$20</f>
        <v>0.15</v>
      </c>
      <c r="B217" s="130">
        <v>8</v>
      </c>
      <c r="C217" s="120">
        <f>C220*(1+$A217)</f>
        <v>1.4308449074074074E-4</v>
      </c>
      <c r="D217" s="121">
        <f t="shared" ref="D217:N217" si="140">$C217/D214</f>
        <v>1.4938869361113045E-4</v>
      </c>
      <c r="E217" s="121">
        <f t="shared" si="140"/>
        <v>1.5406965730670909E-4</v>
      </c>
      <c r="F217" s="121">
        <f t="shared" si="140"/>
        <v>1.5905345791545215E-4</v>
      </c>
      <c r="G217" s="121">
        <f t="shared" si="140"/>
        <v>1.6437046610079349E-4</v>
      </c>
      <c r="H217" s="121">
        <f t="shared" si="140"/>
        <v>1.7005525402987963E-4</v>
      </c>
      <c r="I217" s="121">
        <f t="shared" si="140"/>
        <v>1.7640795307698279E-4</v>
      </c>
      <c r="J217" s="121">
        <f t="shared" si="140"/>
        <v>1.8386596085934303E-4</v>
      </c>
      <c r="K217" s="121">
        <f t="shared" si="140"/>
        <v>1.9312254115365197E-4</v>
      </c>
      <c r="L217" s="121">
        <f t="shared" si="140"/>
        <v>2.0537460993360233E-4</v>
      </c>
      <c r="M217" s="121">
        <f t="shared" si="140"/>
        <v>2.2276894090104428E-4</v>
      </c>
      <c r="N217" s="121">
        <f t="shared" si="140"/>
        <v>2.4949344505796118E-4</v>
      </c>
      <c r="O217" s="121"/>
      <c r="P217" s="122"/>
    </row>
    <row r="218" spans="1:16" x14ac:dyDescent="0.25">
      <c r="A218" s="118">
        <f>Puntenberekening!$I$19</f>
        <v>0.09</v>
      </c>
      <c r="B218" s="130">
        <v>9</v>
      </c>
      <c r="C218" s="120">
        <f>C220*(1+$A218)</f>
        <v>1.3561921296296298E-4</v>
      </c>
      <c r="D218" s="121">
        <f t="shared" ref="D218:N218" si="141">$C218/D214</f>
        <v>1.4159450090098452E-4</v>
      </c>
      <c r="E218" s="121">
        <f t="shared" si="141"/>
        <v>1.460312404037504E-4</v>
      </c>
      <c r="F218" s="121">
        <f t="shared" si="141"/>
        <v>1.5075501663290683E-4</v>
      </c>
      <c r="G218" s="121">
        <f t="shared" si="141"/>
        <v>1.5579461569553471E-4</v>
      </c>
      <c r="H218" s="121">
        <f t="shared" si="141"/>
        <v>1.6118280599353814E-4</v>
      </c>
      <c r="I218" s="121">
        <f t="shared" si="141"/>
        <v>1.6720405987296632E-4</v>
      </c>
      <c r="J218" s="121">
        <f t="shared" si="141"/>
        <v>1.742729542058121E-4</v>
      </c>
      <c r="K218" s="121">
        <f t="shared" si="141"/>
        <v>1.8304658248476579E-4</v>
      </c>
      <c r="L218" s="121">
        <f t="shared" si="141"/>
        <v>1.9465941289358832E-4</v>
      </c>
      <c r="M218" s="121">
        <f t="shared" si="141"/>
        <v>2.1114621354968548E-4</v>
      </c>
      <c r="N218" s="121">
        <f t="shared" si="141"/>
        <v>2.3647639575058934E-4</v>
      </c>
      <c r="O218" s="121"/>
      <c r="P218" s="122"/>
    </row>
    <row r="219" spans="1:16" x14ac:dyDescent="0.25">
      <c r="A219" s="118">
        <f>Puntenberekening!$I$18</f>
        <v>0.04</v>
      </c>
      <c r="B219" s="130">
        <v>10</v>
      </c>
      <c r="C219" s="120">
        <f>C220*(1+$A219)</f>
        <v>1.2939814814814815E-4</v>
      </c>
      <c r="D219" s="121">
        <f t="shared" ref="D219:N219" si="142">$C219/D214</f>
        <v>1.3509934030919623E-4</v>
      </c>
      <c r="E219" s="121">
        <f t="shared" si="142"/>
        <v>1.3933255965128475E-4</v>
      </c>
      <c r="F219" s="121">
        <f t="shared" si="142"/>
        <v>1.4383964889745239E-4</v>
      </c>
      <c r="G219" s="121">
        <f t="shared" si="142"/>
        <v>1.4864807369115239E-4</v>
      </c>
      <c r="H219" s="121">
        <f t="shared" si="142"/>
        <v>1.5378909929658681E-4</v>
      </c>
      <c r="I219" s="121">
        <f t="shared" si="142"/>
        <v>1.5953414886961921E-4</v>
      </c>
      <c r="J219" s="121">
        <f t="shared" si="142"/>
        <v>1.662787819945363E-4</v>
      </c>
      <c r="K219" s="121">
        <f t="shared" si="142"/>
        <v>1.7464995026069395E-4</v>
      </c>
      <c r="L219" s="121">
        <f t="shared" si="142"/>
        <v>1.8573008202690995E-4</v>
      </c>
      <c r="M219" s="121">
        <f t="shared" si="142"/>
        <v>2.0146060742355309E-4</v>
      </c>
      <c r="N219" s="121">
        <f t="shared" si="142"/>
        <v>2.2562885466111273E-4</v>
      </c>
      <c r="O219" s="121"/>
      <c r="P219" s="122"/>
    </row>
    <row r="220" spans="1:16" x14ac:dyDescent="0.25">
      <c r="A220" s="118">
        <f>Puntenberekening!$I$17</f>
        <v>0</v>
      </c>
      <c r="B220" s="130">
        <v>11</v>
      </c>
      <c r="C220" s="123">
        <f>VLOOKUP(A213,'KAVVV Records &amp; age-grading'!$A$3:$C$28,3,FALSE)</f>
        <v>1.244212962962963E-4</v>
      </c>
      <c r="D220" s="121">
        <f t="shared" ref="D220:N220" si="143">$C220/D214</f>
        <v>1.2990321183576562E-4</v>
      </c>
      <c r="E220" s="121">
        <f t="shared" si="143"/>
        <v>1.3397361504931227E-4</v>
      </c>
      <c r="F220" s="121">
        <f t="shared" si="143"/>
        <v>1.3830735470908882E-4</v>
      </c>
      <c r="G220" s="121">
        <f t="shared" si="143"/>
        <v>1.4293084008764652E-4</v>
      </c>
      <c r="H220" s="121">
        <f t="shared" si="143"/>
        <v>1.4787413393902579E-4</v>
      </c>
      <c r="I220" s="121">
        <f t="shared" si="143"/>
        <v>1.5339822006694157E-4</v>
      </c>
      <c r="J220" s="121">
        <f t="shared" si="143"/>
        <v>1.5988344422551568E-4</v>
      </c>
      <c r="K220" s="121">
        <f t="shared" si="143"/>
        <v>1.6793264448143651E-4</v>
      </c>
      <c r="L220" s="121">
        <f t="shared" si="143"/>
        <v>1.7858661733356724E-4</v>
      </c>
      <c r="M220" s="121">
        <f t="shared" si="143"/>
        <v>1.9371212252264721E-4</v>
      </c>
      <c r="N220" s="121">
        <f t="shared" si="143"/>
        <v>2.1695082178953149E-4</v>
      </c>
      <c r="O220" s="121"/>
      <c r="P220" s="122"/>
    </row>
    <row r="221" spans="1:16" x14ac:dyDescent="0.25">
      <c r="B221" s="129"/>
    </row>
    <row r="222" spans="1:16" x14ac:dyDescent="0.25">
      <c r="B222" s="129"/>
      <c r="C222" s="15" t="s">
        <v>243</v>
      </c>
      <c r="D222" s="15" t="s">
        <v>233</v>
      </c>
      <c r="E222" s="15" t="s">
        <v>232</v>
      </c>
      <c r="F222" s="15" t="s">
        <v>234</v>
      </c>
      <c r="G222" s="15" t="s">
        <v>235</v>
      </c>
      <c r="H222" s="15" t="s">
        <v>236</v>
      </c>
      <c r="I222" s="15" t="s">
        <v>237</v>
      </c>
      <c r="J222" s="15" t="s">
        <v>238</v>
      </c>
      <c r="K222" s="15" t="s">
        <v>239</v>
      </c>
      <c r="L222" s="15" t="s">
        <v>240</v>
      </c>
      <c r="M222" s="15" t="s">
        <v>241</v>
      </c>
      <c r="N222" s="15" t="s">
        <v>242</v>
      </c>
      <c r="O222" s="15"/>
      <c r="P222" s="15"/>
    </row>
    <row r="223" spans="1:16" ht="14.4" x14ac:dyDescent="0.3">
      <c r="A223" t="s">
        <v>279</v>
      </c>
      <c r="D223" s="124">
        <f>VLOOKUP($A223,'KAVVV Records &amp; age-grading'!$A$3:$AF$28,20,FALSE)</f>
        <v>0.95569999999999999</v>
      </c>
      <c r="E223" s="124">
        <f>VLOOKUP($A223,'KAVVV Records &amp; age-grading'!$A$3:$AF$28,21,FALSE)</f>
        <v>0.92609999999999992</v>
      </c>
      <c r="F223" s="124">
        <f>VLOOKUP($A223,'KAVVV Records &amp; age-grading'!$A$3:$AF$28,22,FALSE)</f>
        <v>0.89649999999999996</v>
      </c>
      <c r="G223" s="124">
        <f>VLOOKUP($A223,'KAVVV Records &amp; age-grading'!$A$3:$AF$28,23,FALSE)</f>
        <v>0.8669</v>
      </c>
      <c r="H223" s="124">
        <f>VLOOKUP($A223,'KAVVV Records &amp; age-grading'!$A$3:$AF$28,24,FALSE)</f>
        <v>0.83730000000000004</v>
      </c>
      <c r="I223" s="124">
        <f>VLOOKUP($A223,'KAVVV Records &amp; age-grading'!$A$3:$AF$28,25,FALSE)</f>
        <v>0.80590000000000006</v>
      </c>
      <c r="J223" s="124">
        <f>VLOOKUP($A223,'KAVVV Records &amp; age-grading'!$A$3:$AF$28,26,FALSE)</f>
        <v>0.7712</v>
      </c>
      <c r="K223" s="124">
        <f>VLOOKUP($A223,'KAVVV Records &amp; age-grading'!$A$3:$AF$28,27,FALSE)</f>
        <v>0.73120000000000007</v>
      </c>
      <c r="L223" s="124">
        <f>VLOOKUP($A223,'KAVVV Records &amp; age-grading'!$A$3:$AF$28,28,FALSE)</f>
        <v>0.68320000000000003</v>
      </c>
      <c r="M223" s="124">
        <f>VLOOKUP($A223,'KAVVV Records &amp; age-grading'!$A$3:$AF$28,29,FALSE)</f>
        <v>0.62369999999999992</v>
      </c>
      <c r="N223" s="124">
        <f>VLOOKUP($A223,'KAVVV Records &amp; age-grading'!$A$3:$AF$28,30,FALSE)</f>
        <v>0.54830000000000001</v>
      </c>
      <c r="O223" s="124"/>
      <c r="P223" s="124"/>
    </row>
    <row r="224" spans="1:16" x14ac:dyDescent="0.25">
      <c r="A224" s="118">
        <f>Puntenberekening!$I$22</f>
        <v>0.3</v>
      </c>
      <c r="B224" s="130">
        <v>6</v>
      </c>
      <c r="C224" s="120">
        <f>C229*(1+$A224)</f>
        <v>2.4751157407407409E-4</v>
      </c>
      <c r="D224" s="121">
        <f t="shared" ref="D224:N224" si="144">$C224/D223</f>
        <v>2.5898459147648224E-4</v>
      </c>
      <c r="E224" s="121">
        <f t="shared" si="144"/>
        <v>2.6726225469611716E-4</v>
      </c>
      <c r="F224" s="121">
        <f t="shared" si="144"/>
        <v>2.760865299208858E-4</v>
      </c>
      <c r="G224" s="121">
        <f t="shared" si="144"/>
        <v>2.8551340878310544E-4</v>
      </c>
      <c r="H224" s="121">
        <f t="shared" si="144"/>
        <v>2.9560680051842121E-4</v>
      </c>
      <c r="I224" s="121">
        <f t="shared" si="144"/>
        <v>3.0712442495852349E-4</v>
      </c>
      <c r="J224" s="121">
        <f t="shared" si="144"/>
        <v>3.2094343111264793E-4</v>
      </c>
      <c r="K224" s="121">
        <f t="shared" si="144"/>
        <v>3.385005115892698E-4</v>
      </c>
      <c r="L224" s="121">
        <f t="shared" si="144"/>
        <v>3.6228274893746208E-4</v>
      </c>
      <c r="M224" s="121">
        <f t="shared" si="144"/>
        <v>3.9684395394271944E-4</v>
      </c>
      <c r="N224" s="121">
        <f t="shared" si="144"/>
        <v>4.514163306111145E-4</v>
      </c>
      <c r="O224" s="121"/>
      <c r="P224" s="122"/>
    </row>
    <row r="225" spans="1:16" x14ac:dyDescent="0.25">
      <c r="A225" s="118">
        <f>Puntenberekening!$I$21</f>
        <v>0.22</v>
      </c>
      <c r="B225" s="130">
        <v>7</v>
      </c>
      <c r="C225" s="120">
        <f>C229*(1+$A225)</f>
        <v>2.322800925925926E-4</v>
      </c>
      <c r="D225" s="121">
        <f t="shared" ref="D225:N225" si="145">$C225/D223</f>
        <v>2.4304707815485258E-4</v>
      </c>
      <c r="E225" s="121">
        <f t="shared" si="145"/>
        <v>2.5081534671481765E-4</v>
      </c>
      <c r="F225" s="121">
        <f t="shared" si="145"/>
        <v>2.5909658961806206E-4</v>
      </c>
      <c r="G225" s="121">
        <f t="shared" si="145"/>
        <v>2.6794335285799123E-4</v>
      </c>
      <c r="H225" s="121">
        <f t="shared" si="145"/>
        <v>2.7741561279421065E-4</v>
      </c>
      <c r="I225" s="121">
        <f t="shared" si="145"/>
        <v>2.8822446034569126E-4</v>
      </c>
      <c r="J225" s="121">
        <f t="shared" si="145"/>
        <v>3.0119306612110035E-4</v>
      </c>
      <c r="K225" s="121">
        <f t="shared" si="145"/>
        <v>3.1766971087608393E-4</v>
      </c>
      <c r="L225" s="121">
        <f t="shared" si="145"/>
        <v>3.3998842592592593E-4</v>
      </c>
      <c r="M225" s="121">
        <f t="shared" si="145"/>
        <v>3.7242278754624438E-4</v>
      </c>
      <c r="N225" s="121">
        <f t="shared" si="145"/>
        <v>4.2363686411196901E-4</v>
      </c>
      <c r="O225" s="121"/>
      <c r="P225" s="122"/>
    </row>
    <row r="226" spans="1:16" x14ac:dyDescent="0.25">
      <c r="A226" s="118">
        <f>Puntenberekening!$I$20</f>
        <v>0.15</v>
      </c>
      <c r="B226" s="130">
        <v>8</v>
      </c>
      <c r="C226" s="120">
        <f>C229*(1+$A226)</f>
        <v>2.189525462962963E-4</v>
      </c>
      <c r="D226" s="121">
        <f t="shared" ref="D226:N226" si="146">$C226/D223</f>
        <v>2.291017539984266E-4</v>
      </c>
      <c r="E226" s="121">
        <f t="shared" si="146"/>
        <v>2.3642430223118056E-4</v>
      </c>
      <c r="F226" s="121">
        <f t="shared" si="146"/>
        <v>2.4423039185309127E-4</v>
      </c>
      <c r="G226" s="121">
        <f t="shared" si="146"/>
        <v>2.5256955392351634E-4</v>
      </c>
      <c r="H226" s="121">
        <f t="shared" si="146"/>
        <v>2.6149832353552642E-4</v>
      </c>
      <c r="I226" s="121">
        <f t="shared" si="146"/>
        <v>2.7168699130946305E-4</v>
      </c>
      <c r="J226" s="121">
        <f t="shared" si="146"/>
        <v>2.8391149675349622E-4</v>
      </c>
      <c r="K226" s="121">
        <f t="shared" si="146"/>
        <v>2.9944276025204635E-4</v>
      </c>
      <c r="L226" s="121">
        <f t="shared" si="146"/>
        <v>3.2048089329083182E-4</v>
      </c>
      <c r="M226" s="121">
        <f t="shared" si="146"/>
        <v>3.5105426694932875E-4</v>
      </c>
      <c r="N226" s="121">
        <f t="shared" si="146"/>
        <v>3.9932983092521668E-4</v>
      </c>
      <c r="O226" s="121"/>
      <c r="P226" s="122"/>
    </row>
    <row r="227" spans="1:16" x14ac:dyDescent="0.25">
      <c r="A227" s="118">
        <f>Puntenberekening!$I$19</f>
        <v>0.09</v>
      </c>
      <c r="B227" s="130">
        <v>9</v>
      </c>
      <c r="C227" s="120">
        <f>C229*(1+$A227)</f>
        <v>2.0752893518518521E-4</v>
      </c>
      <c r="D227" s="121">
        <f t="shared" ref="D227:N227" si="147">$C227/D223</f>
        <v>2.1714861900720437E-4</v>
      </c>
      <c r="E227" s="121">
        <f t="shared" si="147"/>
        <v>2.2408912124520595E-4</v>
      </c>
      <c r="F227" s="121">
        <f t="shared" si="147"/>
        <v>2.3148793662597348E-4</v>
      </c>
      <c r="G227" s="121">
        <f t="shared" si="147"/>
        <v>2.393920119796807E-4</v>
      </c>
      <c r="H227" s="121">
        <f t="shared" si="147"/>
        <v>2.4785493274236857E-4</v>
      </c>
      <c r="I227" s="121">
        <f t="shared" si="147"/>
        <v>2.5751201784983895E-4</v>
      </c>
      <c r="J227" s="121">
        <f t="shared" si="147"/>
        <v>2.690987230098356E-4</v>
      </c>
      <c r="K227" s="121">
        <f t="shared" si="147"/>
        <v>2.8381965971715698E-4</v>
      </c>
      <c r="L227" s="121">
        <f t="shared" si="147"/>
        <v>3.0376015103217974E-4</v>
      </c>
      <c r="M227" s="121">
        <f t="shared" si="147"/>
        <v>3.3273839215197247E-4</v>
      </c>
      <c r="N227" s="121">
        <f t="shared" si="147"/>
        <v>3.7849523105085761E-4</v>
      </c>
      <c r="O227" s="121"/>
      <c r="P227" s="122"/>
    </row>
    <row r="228" spans="1:16" x14ac:dyDescent="0.25">
      <c r="A228" s="118">
        <f>Puntenberekening!$I$18</f>
        <v>0.04</v>
      </c>
      <c r="B228" s="130">
        <v>10</v>
      </c>
      <c r="C228" s="120">
        <f>C229*(1+$A228)</f>
        <v>1.9800925925925929E-4</v>
      </c>
      <c r="D228" s="121">
        <f t="shared" ref="D228:N228" si="148">$C228/D223</f>
        <v>2.0718767318118582E-4</v>
      </c>
      <c r="E228" s="121">
        <f t="shared" si="148"/>
        <v>2.1380980375689375E-4</v>
      </c>
      <c r="F228" s="121">
        <f t="shared" si="148"/>
        <v>2.2086922393670864E-4</v>
      </c>
      <c r="G228" s="121">
        <f t="shared" si="148"/>
        <v>2.2841072702648436E-4</v>
      </c>
      <c r="H228" s="121">
        <f t="shared" si="148"/>
        <v>2.36485440414737E-4</v>
      </c>
      <c r="I228" s="121">
        <f t="shared" si="148"/>
        <v>2.4569953996681881E-4</v>
      </c>
      <c r="J228" s="121">
        <f t="shared" si="148"/>
        <v>2.5675474489011838E-4</v>
      </c>
      <c r="K228" s="121">
        <f t="shared" si="148"/>
        <v>2.7080040927141588E-4</v>
      </c>
      <c r="L228" s="121">
        <f t="shared" si="148"/>
        <v>2.8982619914996965E-4</v>
      </c>
      <c r="M228" s="121">
        <f t="shared" si="148"/>
        <v>3.1747516315417561E-4</v>
      </c>
      <c r="N228" s="121">
        <f t="shared" si="148"/>
        <v>3.6113306448889163E-4</v>
      </c>
      <c r="O228" s="121"/>
      <c r="P228" s="122"/>
    </row>
    <row r="229" spans="1:16" x14ac:dyDescent="0.25">
      <c r="A229" s="118">
        <f>Puntenberekening!$I$17</f>
        <v>0</v>
      </c>
      <c r="B229" s="130">
        <v>11</v>
      </c>
      <c r="C229" s="123">
        <f>VLOOKUP(A223,'KAVVV Records &amp; age-grading'!$A$3:$C$28,3,FALSE)</f>
        <v>1.9039351851851853E-4</v>
      </c>
      <c r="D229" s="121">
        <f>$C229/D223</f>
        <v>1.9921891652037097E-4</v>
      </c>
      <c r="E229" s="121">
        <f t="shared" ref="E229:N229" si="149">$C229/E223</f>
        <v>2.0558634976624397E-4</v>
      </c>
      <c r="F229" s="121">
        <f t="shared" si="149"/>
        <v>2.1237425378529674E-4</v>
      </c>
      <c r="G229" s="121">
        <f t="shared" si="149"/>
        <v>2.1962569906392725E-4</v>
      </c>
      <c r="H229" s="121">
        <f t="shared" si="149"/>
        <v>2.2738984655263169E-4</v>
      </c>
      <c r="I229" s="121">
        <f t="shared" si="149"/>
        <v>2.3624955766040267E-4</v>
      </c>
      <c r="J229" s="121">
        <f t="shared" si="149"/>
        <v>2.4687956239434456E-4</v>
      </c>
      <c r="K229" s="121">
        <f t="shared" si="149"/>
        <v>2.6038500891482289E-4</v>
      </c>
      <c r="L229" s="121">
        <f t="shared" si="149"/>
        <v>2.786790376442016E-4</v>
      </c>
      <c r="M229" s="121">
        <f t="shared" si="149"/>
        <v>3.0526457995593806E-4</v>
      </c>
      <c r="N229" s="121">
        <f t="shared" si="149"/>
        <v>3.4724333123931886E-4</v>
      </c>
      <c r="O229" s="121"/>
      <c r="P229" s="122"/>
    </row>
    <row r="230" spans="1:16" x14ac:dyDescent="0.25">
      <c r="B230" s="129"/>
    </row>
    <row r="231" spans="1:16" x14ac:dyDescent="0.25">
      <c r="A231" t="s">
        <v>246</v>
      </c>
      <c r="B231" s="129"/>
      <c r="C231" s="15" t="s">
        <v>243</v>
      </c>
      <c r="D231" s="15" t="s">
        <v>233</v>
      </c>
      <c r="E231" s="15" t="s">
        <v>232</v>
      </c>
      <c r="F231" s="15" t="s">
        <v>234</v>
      </c>
      <c r="G231" s="15" t="s">
        <v>235</v>
      </c>
      <c r="H231" s="15" t="s">
        <v>236</v>
      </c>
      <c r="I231" s="15" t="s">
        <v>237</v>
      </c>
      <c r="J231" s="15" t="s">
        <v>238</v>
      </c>
      <c r="K231" s="15" t="s">
        <v>239</v>
      </c>
      <c r="L231" s="15" t="s">
        <v>240</v>
      </c>
      <c r="M231" s="15" t="s">
        <v>241</v>
      </c>
      <c r="N231" s="15" t="s">
        <v>242</v>
      </c>
      <c r="O231" s="15"/>
      <c r="P231" s="15"/>
    </row>
    <row r="232" spans="1:16" ht="14.4" x14ac:dyDescent="0.3">
      <c r="C232" s="123"/>
      <c r="D232" s="124">
        <f>VLOOKUP($A231,'KAVVV Records &amp; age-grading'!$A$3:$AF$28,20,FALSE)</f>
        <v>0.9536</v>
      </c>
      <c r="E232" s="124">
        <f>VLOOKUP($A231,'KAVVV Records &amp; age-grading'!$A$3:$AF$28,21,FALSE)</f>
        <v>0.92349999999999999</v>
      </c>
      <c r="F232" s="124">
        <f>VLOOKUP($A231,'KAVVV Records &amp; age-grading'!$A$3:$AF$28,22,FALSE)</f>
        <v>0.89339999999999997</v>
      </c>
      <c r="G232" s="124">
        <f>VLOOKUP($A231,'KAVVV Records &amp; age-grading'!$A$3:$AF$28,23,FALSE)</f>
        <v>0.86329999999999996</v>
      </c>
      <c r="H232" s="124">
        <f>VLOOKUP($A231,'KAVVV Records &amp; age-grading'!$A$3:$AF$28,24,FALSE)</f>
        <v>0.83320000000000005</v>
      </c>
      <c r="I232" s="124">
        <f>VLOOKUP($A231,'KAVVV Records &amp; age-grading'!$A$3:$AF$28,25,FALSE)</f>
        <v>0.80069999999999997</v>
      </c>
      <c r="J232" s="124">
        <f>VLOOKUP($A231,'KAVVV Records &amp; age-grading'!$A$3:$AF$28,26,FALSE)</f>
        <v>0.76419999999999999</v>
      </c>
      <c r="K232" s="124">
        <f>VLOOKUP($A231,'KAVVV Records &amp; age-grading'!$A$3:$AF$28,27,FALSE)</f>
        <v>0.72150000000000003</v>
      </c>
      <c r="L232" s="124">
        <f>VLOOKUP($A231,'KAVVV Records &amp; age-grading'!$A$3:$AF$28,28,FALSE)</f>
        <v>0.66969999999999996</v>
      </c>
      <c r="M232" s="124">
        <f>VLOOKUP($A231,'KAVVV Records &amp; age-grading'!$A$3:$AF$28,29,FALSE)</f>
        <v>0.60509999999999997</v>
      </c>
      <c r="N232" s="124">
        <f>VLOOKUP($A231,'KAVVV Records &amp; age-grading'!$A$3:$AF$28,30,FALSE)</f>
        <v>0.52310000000000001</v>
      </c>
      <c r="O232" s="124"/>
      <c r="P232" s="124"/>
    </row>
    <row r="233" spans="1:16" x14ac:dyDescent="0.25">
      <c r="A233" s="118">
        <f>Puntenberekening!$I$22</f>
        <v>0.3</v>
      </c>
      <c r="B233" s="130">
        <v>6</v>
      </c>
      <c r="C233" s="120">
        <f>C238*(1+$A233)</f>
        <v>3.3177083333333339E-4</v>
      </c>
      <c r="D233" s="121">
        <f t="shared" ref="D233:N233" si="150">$C233/D232</f>
        <v>3.4791404502237141E-4</v>
      </c>
      <c r="E233" s="121">
        <f t="shared" si="150"/>
        <v>3.5925374481140593E-4</v>
      </c>
      <c r="F233" s="121">
        <f t="shared" si="150"/>
        <v>3.7135754794418336E-4</v>
      </c>
      <c r="G233" s="121">
        <f t="shared" si="150"/>
        <v>3.8430537858604586E-4</v>
      </c>
      <c r="H233" s="121">
        <f t="shared" si="150"/>
        <v>3.9818871019363101E-4</v>
      </c>
      <c r="I233" s="121">
        <f t="shared" si="150"/>
        <v>4.1435098455518094E-4</v>
      </c>
      <c r="J233" s="121">
        <f t="shared" si="150"/>
        <v>4.3414136787926381E-4</v>
      </c>
      <c r="K233" s="121">
        <f t="shared" si="150"/>
        <v>4.5983483483483489E-4</v>
      </c>
      <c r="L233" s="121">
        <f t="shared" si="150"/>
        <v>4.9540217012592716E-4</v>
      </c>
      <c r="M233" s="121">
        <f t="shared" si="150"/>
        <v>5.4829091610202182E-4</v>
      </c>
      <c r="N233" s="121">
        <f t="shared" si="150"/>
        <v>6.3423978844070615E-4</v>
      </c>
      <c r="O233" s="121"/>
      <c r="P233" s="122"/>
    </row>
    <row r="234" spans="1:16" x14ac:dyDescent="0.25">
      <c r="A234" s="118">
        <f>Puntenberekening!$I$21</f>
        <v>0.22</v>
      </c>
      <c r="B234" s="130">
        <v>7</v>
      </c>
      <c r="C234" s="120">
        <f>C238*(1+$A234)</f>
        <v>3.113541666666667E-4</v>
      </c>
      <c r="D234" s="121">
        <f t="shared" ref="D234:N234" si="151">$C234/D232</f>
        <v>3.2650394994407161E-4</v>
      </c>
      <c r="E234" s="121">
        <f t="shared" si="151"/>
        <v>3.3714582205378096E-4</v>
      </c>
      <c r="F234" s="121">
        <f t="shared" si="151"/>
        <v>3.485047757630028E-4</v>
      </c>
      <c r="G234" s="121">
        <f t="shared" si="151"/>
        <v>3.606558168269046E-4</v>
      </c>
      <c r="H234" s="121">
        <f t="shared" si="151"/>
        <v>3.7368478956633061E-4</v>
      </c>
      <c r="I234" s="121">
        <f t="shared" si="151"/>
        <v>3.8885246242870825E-4</v>
      </c>
      <c r="J234" s="121">
        <f t="shared" si="151"/>
        <v>4.074249760097706E-4</v>
      </c>
      <c r="K234" s="121">
        <f t="shared" si="151"/>
        <v>4.3153730653730656E-4</v>
      </c>
      <c r="L234" s="121">
        <f t="shared" si="151"/>
        <v>4.649158827335624E-4</v>
      </c>
      <c r="M234" s="121">
        <f t="shared" si="151"/>
        <v>5.145499366495897E-4</v>
      </c>
      <c r="N234" s="121">
        <f t="shared" si="151"/>
        <v>5.9520964761358578E-4</v>
      </c>
      <c r="O234" s="121"/>
      <c r="P234" s="122"/>
    </row>
    <row r="235" spans="1:16" x14ac:dyDescent="0.25">
      <c r="A235" s="118">
        <f>Puntenberekening!$I$20</f>
        <v>0.15</v>
      </c>
      <c r="B235" s="130">
        <v>8</v>
      </c>
      <c r="C235" s="120">
        <f>C238*(1+$A235)</f>
        <v>2.9348958333333332E-4</v>
      </c>
      <c r="D235" s="121">
        <f t="shared" ref="D235:N235" si="152">$C235/D232</f>
        <v>3.0777011675055927E-4</v>
      </c>
      <c r="E235" s="121">
        <f t="shared" si="152"/>
        <v>3.1780138964085906E-4</v>
      </c>
      <c r="F235" s="121">
        <f t="shared" si="152"/>
        <v>3.2850860010446979E-4</v>
      </c>
      <c r="G235" s="121">
        <f t="shared" si="152"/>
        <v>3.3996245028765587E-4</v>
      </c>
      <c r="H235" s="121">
        <f t="shared" si="152"/>
        <v>3.5224385901744276E-4</v>
      </c>
      <c r="I235" s="121">
        <f t="shared" si="152"/>
        <v>3.665412555680446E-4</v>
      </c>
      <c r="J235" s="121">
        <f t="shared" si="152"/>
        <v>3.8404813312396406E-4</v>
      </c>
      <c r="K235" s="121">
        <f t="shared" si="152"/>
        <v>4.0677696927696926E-4</v>
      </c>
      <c r="L235" s="121">
        <f t="shared" si="152"/>
        <v>4.3824038126524312E-4</v>
      </c>
      <c r="M235" s="121">
        <f t="shared" si="152"/>
        <v>4.8502657962871151E-4</v>
      </c>
      <c r="N235" s="121">
        <f t="shared" si="152"/>
        <v>5.6105827438985526E-4</v>
      </c>
      <c r="O235" s="121"/>
      <c r="P235" s="122"/>
    </row>
    <row r="236" spans="1:16" x14ac:dyDescent="0.25">
      <c r="A236" s="118">
        <f>Puntenberekening!$I$19</f>
        <v>0.09</v>
      </c>
      <c r="B236" s="130">
        <v>9</v>
      </c>
      <c r="C236" s="120">
        <f>C238*(1+$A236)</f>
        <v>2.781770833333334E-4</v>
      </c>
      <c r="D236" s="121">
        <f t="shared" ref="D236:N236" si="153">$C236/D232</f>
        <v>2.9171254544183451E-4</v>
      </c>
      <c r="E236" s="121">
        <f t="shared" si="153"/>
        <v>3.012204475726404E-4</v>
      </c>
      <c r="F236" s="121">
        <f t="shared" si="153"/>
        <v>3.1136902096858454E-4</v>
      </c>
      <c r="G236" s="121">
        <f t="shared" si="153"/>
        <v>3.2222527896830005E-4</v>
      </c>
      <c r="H236" s="121">
        <f t="shared" si="153"/>
        <v>3.3386591854696758E-4</v>
      </c>
      <c r="I236" s="121">
        <f t="shared" si="153"/>
        <v>3.4741736397319022E-4</v>
      </c>
      <c r="J236" s="121">
        <f t="shared" si="153"/>
        <v>3.6401083922184431E-4</v>
      </c>
      <c r="K236" s="121">
        <f t="shared" si="153"/>
        <v>3.8555382305382313E-4</v>
      </c>
      <c r="L236" s="121">
        <f t="shared" si="153"/>
        <v>4.1537566572096972E-4</v>
      </c>
      <c r="M236" s="121">
        <f t="shared" si="153"/>
        <v>4.5972084503938758E-4</v>
      </c>
      <c r="N236" s="121">
        <f t="shared" si="153"/>
        <v>5.3178566876951514E-4</v>
      </c>
      <c r="O236" s="121"/>
      <c r="P236" s="122"/>
    </row>
    <row r="237" spans="1:16" x14ac:dyDescent="0.25">
      <c r="A237" s="118">
        <f>Puntenberekening!$I$18</f>
        <v>0.04</v>
      </c>
      <c r="B237" s="130">
        <v>10</v>
      </c>
      <c r="C237" s="120">
        <f>C238*(1+$A237)</f>
        <v>2.6541666666666673E-4</v>
      </c>
      <c r="D237" s="121">
        <f t="shared" ref="D237:N237" si="154">$C237/D232</f>
        <v>2.7833123601789716E-4</v>
      </c>
      <c r="E237" s="121">
        <f t="shared" si="154"/>
        <v>2.8740299584912476E-4</v>
      </c>
      <c r="F237" s="121">
        <f t="shared" si="154"/>
        <v>2.9708603835534668E-4</v>
      </c>
      <c r="G237" s="121">
        <f t="shared" si="154"/>
        <v>3.0744430286883671E-4</v>
      </c>
      <c r="H237" s="121">
        <f t="shared" si="154"/>
        <v>3.1855096815490484E-4</v>
      </c>
      <c r="I237" s="121">
        <f t="shared" si="154"/>
        <v>3.3148078764414478E-4</v>
      </c>
      <c r="J237" s="121">
        <f t="shared" si="154"/>
        <v>3.4731309430341108E-4</v>
      </c>
      <c r="K237" s="121">
        <f t="shared" si="154"/>
        <v>3.6786786786786792E-4</v>
      </c>
      <c r="L237" s="121">
        <f t="shared" si="154"/>
        <v>3.9632173610074176E-4</v>
      </c>
      <c r="M237" s="121">
        <f t="shared" si="154"/>
        <v>4.3863273288161748E-4</v>
      </c>
      <c r="N237" s="121">
        <f t="shared" si="154"/>
        <v>5.0739183075256499E-4</v>
      </c>
      <c r="O237" s="121"/>
      <c r="P237" s="122"/>
    </row>
    <row r="238" spans="1:16" x14ac:dyDescent="0.25">
      <c r="A238" s="118">
        <f>Puntenberekening!$I$17</f>
        <v>0</v>
      </c>
      <c r="B238" s="130">
        <v>11</v>
      </c>
      <c r="C238" s="123">
        <f>VLOOKUP(A231,'KAVVV Records &amp; age-grading'!$A$3:$C$28,3,FALSE)</f>
        <v>2.5520833333333336E-4</v>
      </c>
      <c r="D238" s="121">
        <f t="shared" ref="D238:N238" si="155">$C238/D232</f>
        <v>2.6762618847874723E-4</v>
      </c>
      <c r="E238" s="121">
        <f t="shared" si="155"/>
        <v>2.7634903447031224E-4</v>
      </c>
      <c r="F238" s="121">
        <f t="shared" si="155"/>
        <v>2.8565965226475638E-4</v>
      </c>
      <c r="G238" s="121">
        <f t="shared" si="155"/>
        <v>2.9561952198926605E-4</v>
      </c>
      <c r="H238" s="121">
        <f t="shared" si="155"/>
        <v>3.0629900784125461E-4</v>
      </c>
      <c r="I238" s="121">
        <f t="shared" si="155"/>
        <v>3.1873152658090843E-4</v>
      </c>
      <c r="J238" s="121">
        <f t="shared" si="155"/>
        <v>3.3395489836866442E-4</v>
      </c>
      <c r="K238" s="121">
        <f t="shared" si="155"/>
        <v>3.5371910371910373E-4</v>
      </c>
      <c r="L238" s="121">
        <f t="shared" si="155"/>
        <v>3.810785924045593E-4</v>
      </c>
      <c r="M238" s="121">
        <f t="shared" si="155"/>
        <v>4.2176224315540136E-4</v>
      </c>
      <c r="N238" s="121">
        <f t="shared" si="155"/>
        <v>4.8787676033900469E-4</v>
      </c>
      <c r="O238" s="121"/>
      <c r="P238" s="122"/>
    </row>
    <row r="239" spans="1:16" x14ac:dyDescent="0.25">
      <c r="B239" s="129"/>
    </row>
    <row r="240" spans="1:16" x14ac:dyDescent="0.25">
      <c r="A240" t="s">
        <v>283</v>
      </c>
      <c r="B240" s="129"/>
      <c r="C240" s="15" t="s">
        <v>243</v>
      </c>
      <c r="D240" s="15" t="s">
        <v>233</v>
      </c>
      <c r="E240" s="15" t="s">
        <v>232</v>
      </c>
      <c r="F240" s="15" t="s">
        <v>234</v>
      </c>
      <c r="G240" s="15" t="s">
        <v>235</v>
      </c>
      <c r="H240" s="15" t="s">
        <v>236</v>
      </c>
      <c r="I240" s="15" t="s">
        <v>237</v>
      </c>
      <c r="J240" s="15" t="s">
        <v>238</v>
      </c>
      <c r="K240" s="15" t="s">
        <v>239</v>
      </c>
      <c r="L240" s="15" t="s">
        <v>240</v>
      </c>
      <c r="M240" s="15" t="s">
        <v>241</v>
      </c>
      <c r="N240" s="15" t="s">
        <v>242</v>
      </c>
      <c r="O240" s="15"/>
      <c r="P240" s="15"/>
    </row>
    <row r="241" spans="1:16" ht="14.4" x14ac:dyDescent="0.3">
      <c r="C241" s="123"/>
      <c r="D241" s="124">
        <f>VLOOKUP($A240,'KAVVV Records &amp; age-grading'!$A$3:$AF$28,20,FALSE)</f>
        <v>0.94450000000000001</v>
      </c>
      <c r="E241" s="124">
        <f>VLOOKUP($A240,'KAVVV Records &amp; age-grading'!$A$3:$AF$28,21,FALSE)</f>
        <v>0.91444999999999999</v>
      </c>
      <c r="F241" s="124">
        <f>VLOOKUP($A240,'KAVVV Records &amp; age-grading'!$A$3:$AF$28,22,FALSE)</f>
        <v>0.88439999999999996</v>
      </c>
      <c r="G241" s="124">
        <f>VLOOKUP($A240,'KAVVV Records &amp; age-grading'!$A$3:$AF$28,23,FALSE)</f>
        <v>0.85434999999999994</v>
      </c>
      <c r="H241" s="124">
        <f>VLOOKUP($A240,'KAVVV Records &amp; age-grading'!$A$3:$AF$28,24,FALSE)</f>
        <v>0.82430000000000003</v>
      </c>
      <c r="I241" s="124">
        <f>VLOOKUP($A240,'KAVVV Records &amp; age-grading'!$A$3:$AF$28,25,FALSE)</f>
        <v>0.79214999999999991</v>
      </c>
      <c r="J241" s="124">
        <f>VLOOKUP($A240,'KAVVV Records &amp; age-grading'!$A$3:$AF$28,26,FALSE)</f>
        <v>0.75509999999999999</v>
      </c>
      <c r="K241" s="124">
        <f>VLOOKUP($A240,'KAVVV Records &amp; age-grading'!$A$3:$AF$28,27,FALSE)</f>
        <v>0.70995000000000008</v>
      </c>
      <c r="L241" s="124">
        <f>VLOOKUP($A240,'KAVVV Records &amp; age-grading'!$A$3:$AF$28,28,FALSE)</f>
        <v>0.65300000000000002</v>
      </c>
      <c r="M241" s="124">
        <f>VLOOKUP($A240,'KAVVV Records &amp; age-grading'!$A$3:$AF$28,29,FALSE)</f>
        <v>0.57994999999999997</v>
      </c>
      <c r="N241" s="124">
        <f>VLOOKUP($A240,'KAVVV Records &amp; age-grading'!$A$3:$AF$28,30,FALSE)</f>
        <v>0.48580000000000001</v>
      </c>
      <c r="O241" s="124"/>
      <c r="P241" s="124"/>
    </row>
    <row r="242" spans="1:16" x14ac:dyDescent="0.25">
      <c r="A242" s="118">
        <f>Puntenberekening!$I$22</f>
        <v>0.3</v>
      </c>
      <c r="B242" s="130">
        <v>6</v>
      </c>
      <c r="C242" s="120">
        <f>C247*(1+$A242)</f>
        <v>5.3956018518518524E-4</v>
      </c>
      <c r="D242" s="121">
        <f t="shared" ref="D242:N242" si="156">$C242/D241</f>
        <v>5.7126541575985737E-4</v>
      </c>
      <c r="E242" s="121">
        <f t="shared" si="156"/>
        <v>5.9003793010573046E-4</v>
      </c>
      <c r="F242" s="121">
        <f t="shared" si="156"/>
        <v>6.1008614335728776E-4</v>
      </c>
      <c r="G242" s="121">
        <f t="shared" si="156"/>
        <v>6.3154466575195795E-4</v>
      </c>
      <c r="H242" s="121">
        <f t="shared" si="156"/>
        <v>6.5456773648572754E-4</v>
      </c>
      <c r="I242" s="121">
        <f t="shared" si="156"/>
        <v>6.811338574577862E-4</v>
      </c>
      <c r="J242" s="122">
        <f t="shared" si="156"/>
        <v>7.1455460890635042E-4</v>
      </c>
      <c r="K242" s="122">
        <f t="shared" si="156"/>
        <v>7.5999744374277787E-4</v>
      </c>
      <c r="L242" s="122">
        <f t="shared" si="156"/>
        <v>8.2627899722080437E-4</v>
      </c>
      <c r="M242" s="122">
        <f t="shared" si="156"/>
        <v>9.3035638449036166E-4</v>
      </c>
      <c r="N242" s="122">
        <f t="shared" si="156"/>
        <v>1.1106632054038396E-3</v>
      </c>
      <c r="O242" s="121"/>
      <c r="P242" s="122"/>
    </row>
    <row r="243" spans="1:16" x14ac:dyDescent="0.25">
      <c r="A243" s="118">
        <f>Puntenberekening!$I$21</f>
        <v>0.22</v>
      </c>
      <c r="B243" s="130">
        <v>7</v>
      </c>
      <c r="C243" s="120">
        <f>C247*(1+$A243)</f>
        <v>5.0635648148148154E-4</v>
      </c>
      <c r="D243" s="121">
        <f t="shared" ref="D243:N243" si="157">$C243/D241</f>
        <v>5.3611062094386611E-4</v>
      </c>
      <c r="E243" s="121">
        <f t="shared" si="157"/>
        <v>5.5372790363768557E-4</v>
      </c>
      <c r="F243" s="121">
        <f t="shared" si="157"/>
        <v>5.7254238068914698E-4</v>
      </c>
      <c r="G243" s="121">
        <f t="shared" si="157"/>
        <v>5.9268037862876056E-4</v>
      </c>
      <c r="H243" s="121">
        <f t="shared" si="157"/>
        <v>6.1428664500968284E-4</v>
      </c>
      <c r="I243" s="121">
        <f t="shared" si="157"/>
        <v>6.3921792776807621E-4</v>
      </c>
      <c r="J243" s="122">
        <f t="shared" si="157"/>
        <v>6.7058201758903664E-4</v>
      </c>
      <c r="K243" s="122">
        <f t="shared" si="157"/>
        <v>7.1322837028168389E-4</v>
      </c>
      <c r="L243" s="122">
        <f t="shared" si="157"/>
        <v>7.754310589302933E-4</v>
      </c>
      <c r="M243" s="122">
        <f t="shared" si="157"/>
        <v>8.7310368390633951E-4</v>
      </c>
      <c r="N243" s="122">
        <f t="shared" si="157"/>
        <v>1.0423147004559109E-3</v>
      </c>
      <c r="O243" s="121"/>
      <c r="P243" s="122"/>
    </row>
    <row r="244" spans="1:16" x14ac:dyDescent="0.25">
      <c r="A244" s="118">
        <f>Puntenberekening!$I$20</f>
        <v>0.15</v>
      </c>
      <c r="B244" s="130">
        <v>8</v>
      </c>
      <c r="C244" s="120">
        <f>C247*(1+$A244)</f>
        <v>4.7730324074074076E-4</v>
      </c>
      <c r="D244" s="121">
        <f t="shared" ref="D244:N244" si="158">$C244/D241</f>
        <v>5.053501754798738E-4</v>
      </c>
      <c r="E244" s="121">
        <f t="shared" si="158"/>
        <v>5.2195663047814621E-4</v>
      </c>
      <c r="F244" s="121">
        <f t="shared" si="158"/>
        <v>5.3969158835452376E-4</v>
      </c>
      <c r="G244" s="121">
        <f t="shared" si="158"/>
        <v>5.5867412739596281E-4</v>
      </c>
      <c r="H244" s="121">
        <f t="shared" si="158"/>
        <v>5.7904068996814356E-4</v>
      </c>
      <c r="I244" s="121">
        <f t="shared" si="158"/>
        <v>6.0254148928958005E-4</v>
      </c>
      <c r="J244" s="122">
        <f t="shared" si="158"/>
        <v>6.3210600018638694E-4</v>
      </c>
      <c r="K244" s="122">
        <f t="shared" si="158"/>
        <v>6.7230543100322659E-4</v>
      </c>
      <c r="L244" s="122">
        <f t="shared" si="158"/>
        <v>7.309391129260961E-4</v>
      </c>
      <c r="M244" s="122">
        <f t="shared" si="158"/>
        <v>8.230075708953199E-4</v>
      </c>
      <c r="N244" s="122">
        <f t="shared" si="158"/>
        <v>9.8250975862647339E-4</v>
      </c>
      <c r="O244" s="121"/>
      <c r="P244" s="122"/>
    </row>
    <row r="245" spans="1:16" x14ac:dyDescent="0.25">
      <c r="A245" s="118">
        <f>Puntenberekening!$I$19</f>
        <v>0.09</v>
      </c>
      <c r="B245" s="130">
        <v>9</v>
      </c>
      <c r="C245" s="120">
        <f>C247*(1+$A245)</f>
        <v>4.5240046296296304E-4</v>
      </c>
      <c r="D245" s="121">
        <f t="shared" ref="D245:N245" si="159">$C245/D241</f>
        <v>4.7898407936788038E-4</v>
      </c>
      <c r="E245" s="121">
        <f t="shared" si="159"/>
        <v>4.9472411062711249E-4</v>
      </c>
      <c r="F245" s="121">
        <f t="shared" si="159"/>
        <v>5.1153376635341822E-4</v>
      </c>
      <c r="G245" s="121">
        <f t="shared" si="159"/>
        <v>5.2952591205356482E-4</v>
      </c>
      <c r="H245" s="121">
        <f t="shared" si="159"/>
        <v>5.4882987136111003E-4</v>
      </c>
      <c r="I245" s="121">
        <f t="shared" si="159"/>
        <v>5.7110454202229772E-4</v>
      </c>
      <c r="J245" s="122">
        <f t="shared" si="159"/>
        <v>5.9912655669840163E-4</v>
      </c>
      <c r="K245" s="122">
        <f t="shared" si="159"/>
        <v>6.3722862590740619E-4</v>
      </c>
      <c r="L245" s="122">
        <f t="shared" si="159"/>
        <v>6.9280315920821288E-4</v>
      </c>
      <c r="M245" s="122">
        <f t="shared" si="159"/>
        <v>7.8006804545730337E-4</v>
      </c>
      <c r="N245" s="122">
        <f t="shared" si="159"/>
        <v>9.3124837991552707E-4</v>
      </c>
      <c r="O245" s="121"/>
      <c r="P245" s="122"/>
    </row>
    <row r="246" spans="1:16" x14ac:dyDescent="0.25">
      <c r="A246" s="118">
        <f>Puntenberekening!$I$18</f>
        <v>0.04</v>
      </c>
      <c r="B246" s="130">
        <v>10</v>
      </c>
      <c r="C246" s="120">
        <f>C247*(1+$A246)</f>
        <v>4.3164814814814818E-4</v>
      </c>
      <c r="D246" s="121">
        <f t="shared" ref="D246:N246" si="160">$C246/D241</f>
        <v>4.5701233260788586E-4</v>
      </c>
      <c r="E246" s="121">
        <f t="shared" si="160"/>
        <v>4.7203034408458436E-4</v>
      </c>
      <c r="F246" s="121">
        <f t="shared" si="160"/>
        <v>4.8806891468583015E-4</v>
      </c>
      <c r="G246" s="121">
        <f t="shared" si="160"/>
        <v>5.0523573260156636E-4</v>
      </c>
      <c r="H246" s="121">
        <f t="shared" si="160"/>
        <v>5.2365418918858203E-4</v>
      </c>
      <c r="I246" s="121">
        <f t="shared" si="160"/>
        <v>5.4490708596622889E-4</v>
      </c>
      <c r="J246" s="122">
        <f t="shared" si="160"/>
        <v>5.716436871250804E-4</v>
      </c>
      <c r="K246" s="122">
        <f t="shared" si="160"/>
        <v>6.0799795499422236E-4</v>
      </c>
      <c r="L246" s="122">
        <f t="shared" si="160"/>
        <v>6.6102319777664343E-4</v>
      </c>
      <c r="M246" s="122">
        <f t="shared" si="160"/>
        <v>7.4428510759228937E-4</v>
      </c>
      <c r="N246" s="122">
        <f t="shared" si="160"/>
        <v>8.8853056432307157E-4</v>
      </c>
      <c r="O246" s="121"/>
      <c r="P246" s="122"/>
    </row>
    <row r="247" spans="1:16" x14ac:dyDescent="0.25">
      <c r="A247" s="118">
        <f>Puntenberekening!$I$17</f>
        <v>0</v>
      </c>
      <c r="B247" s="130">
        <v>11</v>
      </c>
      <c r="C247" s="123">
        <f>VLOOKUP(A240,'KAVVV Records &amp; age-grading'!$A$3:$C$28,3,FALSE)</f>
        <v>4.1504629629629633E-4</v>
      </c>
      <c r="D247" s="121">
        <f t="shared" ref="D247:N247" si="161">$C247/D241</f>
        <v>4.3943493519989023E-4</v>
      </c>
      <c r="E247" s="121">
        <f t="shared" si="161"/>
        <v>4.5387533085056191E-4</v>
      </c>
      <c r="F247" s="121">
        <f t="shared" si="161"/>
        <v>4.6929703335175981E-4</v>
      </c>
      <c r="G247" s="121">
        <f t="shared" si="161"/>
        <v>4.8580358903996766E-4</v>
      </c>
      <c r="H247" s="121">
        <f t="shared" si="161"/>
        <v>5.0351364345055968E-4</v>
      </c>
      <c r="I247" s="121">
        <f t="shared" si="161"/>
        <v>5.2394912112137401E-4</v>
      </c>
      <c r="J247" s="122">
        <f t="shared" si="161"/>
        <v>5.4965739146642346E-4</v>
      </c>
      <c r="K247" s="122">
        <f t="shared" si="161"/>
        <v>5.8461341826367532E-4</v>
      </c>
      <c r="L247" s="122">
        <f t="shared" si="161"/>
        <v>6.3559922863138795E-4</v>
      </c>
      <c r="M247" s="122">
        <f t="shared" si="161"/>
        <v>7.1565875730027824E-4</v>
      </c>
      <c r="N247" s="122">
        <f t="shared" si="161"/>
        <v>8.5435631184910732E-4</v>
      </c>
      <c r="O247" s="121"/>
      <c r="P247" s="122"/>
    </row>
    <row r="248" spans="1:16" x14ac:dyDescent="0.25">
      <c r="A248" s="118"/>
      <c r="B248" s="130"/>
      <c r="C248" s="123"/>
      <c r="D248" s="121"/>
      <c r="E248" s="121"/>
      <c r="F248" s="121"/>
      <c r="G248" s="121"/>
      <c r="H248" s="121"/>
      <c r="I248" s="121"/>
      <c r="J248" s="121"/>
      <c r="K248" s="121"/>
      <c r="L248" s="121"/>
      <c r="M248" s="121"/>
      <c r="N248" s="121"/>
      <c r="O248" s="121"/>
      <c r="P248" s="122"/>
    </row>
    <row r="249" spans="1:16" x14ac:dyDescent="0.25">
      <c r="A249" t="s">
        <v>247</v>
      </c>
      <c r="B249" s="129"/>
      <c r="C249" s="15" t="s">
        <v>243</v>
      </c>
      <c r="D249" s="15" t="s">
        <v>233</v>
      </c>
      <c r="E249" s="15" t="s">
        <v>232</v>
      </c>
      <c r="F249" s="15" t="s">
        <v>234</v>
      </c>
      <c r="G249" s="15" t="s">
        <v>235</v>
      </c>
      <c r="H249" s="15" t="s">
        <v>236</v>
      </c>
      <c r="I249" s="15" t="s">
        <v>237</v>
      </c>
      <c r="J249" s="15" t="s">
        <v>238</v>
      </c>
      <c r="K249" s="15" t="s">
        <v>239</v>
      </c>
      <c r="L249" s="15" t="s">
        <v>240</v>
      </c>
      <c r="M249" s="15" t="s">
        <v>241</v>
      </c>
      <c r="N249" s="15" t="s">
        <v>242</v>
      </c>
      <c r="O249" s="15"/>
      <c r="P249" s="15"/>
    </row>
    <row r="250" spans="1:16" ht="14.4" x14ac:dyDescent="0.3">
      <c r="C250" s="123"/>
      <c r="D250" s="124">
        <f>VLOOKUP($A249,'KAVVV Records &amp; age-grading'!$A$3:$AF$28,20,FALSE)</f>
        <v>0.93540000000000001</v>
      </c>
      <c r="E250" s="124">
        <f>VLOOKUP($A249,'KAVVV Records &amp; age-grading'!$A$3:$AF$28,21,FALSE)</f>
        <v>0.90539999999999998</v>
      </c>
      <c r="F250" s="124">
        <f>VLOOKUP($A249,'KAVVV Records &amp; age-grading'!$A$3:$AF$28,22,FALSE)</f>
        <v>0.87539999999999996</v>
      </c>
      <c r="G250" s="124">
        <f>VLOOKUP($A249,'KAVVV Records &amp; age-grading'!$A$3:$AF$28,23,FALSE)</f>
        <v>0.84540000000000004</v>
      </c>
      <c r="H250" s="124">
        <f>VLOOKUP($A249,'KAVVV Records &amp; age-grading'!$A$3:$AF$28,24,FALSE)</f>
        <v>0.81540000000000001</v>
      </c>
      <c r="I250" s="124">
        <f>VLOOKUP($A249,'KAVVV Records &amp; age-grading'!$A$3:$AF$28,25,FALSE)</f>
        <v>0.78359999999999996</v>
      </c>
      <c r="J250" s="124">
        <f>VLOOKUP($A249,'KAVVV Records &amp; age-grading'!$A$3:$AF$28,26,FALSE)</f>
        <v>0.746</v>
      </c>
      <c r="K250" s="124">
        <f>VLOOKUP($A249,'KAVVV Records &amp; age-grading'!$A$3:$AF$28,27,FALSE)</f>
        <v>0.69840000000000002</v>
      </c>
      <c r="L250" s="124">
        <f>VLOOKUP($A249,'KAVVV Records &amp; age-grading'!$A$3:$AF$28,28,FALSE)</f>
        <v>0.63629999999999998</v>
      </c>
      <c r="M250" s="124">
        <f>VLOOKUP($A249,'KAVVV Records &amp; age-grading'!$A$3:$AF$28,29,FALSE)</f>
        <v>0.55479999999999996</v>
      </c>
      <c r="N250" s="124">
        <f>VLOOKUP($A249,'KAVVV Records &amp; age-grading'!$A$3:$AF$28,30,FALSE)</f>
        <v>0.44850000000000001</v>
      </c>
      <c r="O250" s="124"/>
      <c r="P250" s="124"/>
    </row>
    <row r="251" spans="1:16" x14ac:dyDescent="0.25">
      <c r="A251" s="118">
        <f>Puntenberekening!$I$22</f>
        <v>0.3</v>
      </c>
      <c r="B251" s="130">
        <v>6</v>
      </c>
      <c r="C251" s="122">
        <f>C256*(1+$A251)</f>
        <v>7.5231481481481492E-4</v>
      </c>
      <c r="D251" s="122">
        <f t="shared" ref="D251:N251" si="162">$C251/D250</f>
        <v>8.0427070217534201E-4</v>
      </c>
      <c r="E251" s="122">
        <f t="shared" si="162"/>
        <v>8.309198308093825E-4</v>
      </c>
      <c r="F251" s="122">
        <f t="shared" si="162"/>
        <v>8.5939549327714753E-4</v>
      </c>
      <c r="G251" s="122">
        <f t="shared" si="162"/>
        <v>8.8989213959642165E-4</v>
      </c>
      <c r="H251" s="122">
        <f t="shared" si="162"/>
        <v>9.2263283641748209E-4</v>
      </c>
      <c r="I251" s="122">
        <f t="shared" si="162"/>
        <v>9.6007505719093277E-4</v>
      </c>
      <c r="J251" s="122">
        <f t="shared" si="162"/>
        <v>1.0084648992155696E-3</v>
      </c>
      <c r="K251" s="122">
        <f t="shared" si="162"/>
        <v>1.0771976157142253E-3</v>
      </c>
      <c r="L251" s="122">
        <f t="shared" si="162"/>
        <v>1.1823272274317381E-3</v>
      </c>
      <c r="M251" s="122">
        <f t="shared" si="162"/>
        <v>1.356010841410986E-3</v>
      </c>
      <c r="N251" s="122">
        <f t="shared" si="162"/>
        <v>1.6774020397208806E-3</v>
      </c>
      <c r="O251" s="121"/>
      <c r="P251" s="122"/>
    </row>
    <row r="252" spans="1:16" x14ac:dyDescent="0.25">
      <c r="A252" s="118">
        <f>Puntenberekening!$I$21</f>
        <v>0.22</v>
      </c>
      <c r="B252" s="130">
        <v>7</v>
      </c>
      <c r="C252" s="122">
        <f>C256*(1+$A252)</f>
        <v>7.0601851851851858E-4</v>
      </c>
      <c r="D252" s="122">
        <f t="shared" ref="D252:N252" si="163">$C252/D250</f>
        <v>7.5477712050301326E-4</v>
      </c>
      <c r="E252" s="122">
        <f t="shared" si="163"/>
        <v>7.7978630275957433E-4</v>
      </c>
      <c r="F252" s="122">
        <f t="shared" si="163"/>
        <v>8.0650961676778459E-4</v>
      </c>
      <c r="G252" s="122">
        <f t="shared" si="163"/>
        <v>8.3512954639048797E-4</v>
      </c>
      <c r="H252" s="122">
        <f t="shared" si="163"/>
        <v>8.6585543109948316E-4</v>
      </c>
      <c r="I252" s="122">
        <f t="shared" si="163"/>
        <v>9.0099351520995228E-4</v>
      </c>
      <c r="J252" s="122">
        <f t="shared" si="163"/>
        <v>9.4640552080230372E-4</v>
      </c>
      <c r="K252" s="122">
        <f t="shared" si="163"/>
        <v>1.0109085316702729E-3</v>
      </c>
      <c r="L252" s="122">
        <f t="shared" si="163"/>
        <v>1.1095686288205542E-3</v>
      </c>
      <c r="M252" s="122">
        <f t="shared" si="163"/>
        <v>1.2725640204010789E-3</v>
      </c>
      <c r="N252" s="122">
        <f t="shared" si="163"/>
        <v>1.5741772988149801E-3</v>
      </c>
      <c r="O252" s="121"/>
      <c r="P252" s="122"/>
    </row>
    <row r="253" spans="1:16" x14ac:dyDescent="0.25">
      <c r="A253" s="118">
        <f>Puntenberekening!$I$20</f>
        <v>0.15</v>
      </c>
      <c r="B253" s="130">
        <v>8</v>
      </c>
      <c r="C253" s="122">
        <f>C256*(1+$A253)</f>
        <v>6.6550925925925924E-4</v>
      </c>
      <c r="D253" s="122">
        <f t="shared" ref="D253:N253" si="164">$C253/D250</f>
        <v>7.1147023653972549E-4</v>
      </c>
      <c r="E253" s="122">
        <f t="shared" si="164"/>
        <v>7.3504446571599216E-4</v>
      </c>
      <c r="F253" s="122">
        <f t="shared" si="164"/>
        <v>7.6023447482209195E-4</v>
      </c>
      <c r="G253" s="122">
        <f t="shared" si="164"/>
        <v>7.8721227733529592E-4</v>
      </c>
      <c r="H253" s="122">
        <f t="shared" si="164"/>
        <v>8.1617520144623408E-4</v>
      </c>
      <c r="I253" s="122">
        <f t="shared" si="164"/>
        <v>8.4929716597659428E-4</v>
      </c>
      <c r="J253" s="122">
        <f t="shared" si="164"/>
        <v>8.92103564690696E-4</v>
      </c>
      <c r="K253" s="122">
        <f t="shared" si="164"/>
        <v>9.5290558313181452E-4</v>
      </c>
      <c r="L253" s="122">
        <f t="shared" si="164"/>
        <v>1.0459048550357682E-3</v>
      </c>
      <c r="M253" s="122">
        <f t="shared" si="164"/>
        <v>1.1995480520174105E-3</v>
      </c>
      <c r="N253" s="122">
        <f t="shared" si="164"/>
        <v>1.4838556505223171E-3</v>
      </c>
      <c r="O253" s="121"/>
      <c r="P253" s="122"/>
    </row>
    <row r="254" spans="1:16" x14ac:dyDescent="0.25">
      <c r="A254" s="118">
        <f>Puntenberekening!$I$19</f>
        <v>0.09</v>
      </c>
      <c r="B254" s="130">
        <v>9</v>
      </c>
      <c r="C254" s="122">
        <f>C256*(1+$A254)</f>
        <v>6.3078703703703712E-4</v>
      </c>
      <c r="D254" s="122">
        <f t="shared" ref="D254:N254" si="165">$C254/D250</f>
        <v>6.7435005028547912E-4</v>
      </c>
      <c r="E254" s="122">
        <f t="shared" si="165"/>
        <v>6.9669431967863608E-4</v>
      </c>
      <c r="F254" s="122">
        <f t="shared" si="165"/>
        <v>7.2057006744006983E-4</v>
      </c>
      <c r="G254" s="122">
        <f t="shared" si="165"/>
        <v>7.4614033243084583E-4</v>
      </c>
      <c r="H254" s="122">
        <f t="shared" si="165"/>
        <v>7.7359214745773496E-4</v>
      </c>
      <c r="I254" s="122">
        <f t="shared" si="165"/>
        <v>8.049860094908591E-4</v>
      </c>
      <c r="J254" s="122">
        <f t="shared" si="165"/>
        <v>8.4555903088074681E-4</v>
      </c>
      <c r="K254" s="122">
        <f t="shared" si="165"/>
        <v>9.0318877009885033E-4</v>
      </c>
      <c r="L254" s="122">
        <f t="shared" si="165"/>
        <v>9.9133590607738032E-4</v>
      </c>
      <c r="M254" s="122">
        <f t="shared" si="165"/>
        <v>1.1369629362599804E-3</v>
      </c>
      <c r="N254" s="122">
        <f t="shared" si="165"/>
        <v>1.4064370948428922E-3</v>
      </c>
      <c r="O254" s="121"/>
      <c r="P254" s="122"/>
    </row>
    <row r="255" spans="1:16" x14ac:dyDescent="0.25">
      <c r="A255" s="118">
        <f>Puntenberekening!$I$18</f>
        <v>0.04</v>
      </c>
      <c r="B255" s="130">
        <v>10</v>
      </c>
      <c r="C255" s="122">
        <f>C256*(1+$A255)</f>
        <v>6.01851851851852E-4</v>
      </c>
      <c r="D255" s="122">
        <f t="shared" ref="D255:N255" si="166">$C255/D250</f>
        <v>6.4341656174027372E-4</v>
      </c>
      <c r="E255" s="122">
        <f t="shared" si="166"/>
        <v>6.6473586464750611E-4</v>
      </c>
      <c r="F255" s="122">
        <f t="shared" si="166"/>
        <v>6.8751639462171811E-4</v>
      </c>
      <c r="G255" s="122">
        <f t="shared" si="166"/>
        <v>7.1191371167713747E-4</v>
      </c>
      <c r="H255" s="122">
        <f t="shared" si="166"/>
        <v>7.3810626913398581E-4</v>
      </c>
      <c r="I255" s="122">
        <f t="shared" si="166"/>
        <v>7.6806004575274631E-4</v>
      </c>
      <c r="J255" s="122">
        <f t="shared" si="166"/>
        <v>8.0677191937245573E-4</v>
      </c>
      <c r="K255" s="122">
        <f t="shared" si="166"/>
        <v>8.6175809257138026E-4</v>
      </c>
      <c r="L255" s="122">
        <f t="shared" si="166"/>
        <v>9.4586178194539059E-4</v>
      </c>
      <c r="M255" s="122">
        <f t="shared" si="166"/>
        <v>1.0848086731287889E-3</v>
      </c>
      <c r="N255" s="122">
        <f t="shared" si="166"/>
        <v>1.3419216317767046E-3</v>
      </c>
      <c r="O255" s="121"/>
      <c r="P255" s="122"/>
    </row>
    <row r="256" spans="1:16" x14ac:dyDescent="0.25">
      <c r="A256" s="118">
        <f>Puntenberekening!$I$17</f>
        <v>0</v>
      </c>
      <c r="B256" s="130">
        <v>11</v>
      </c>
      <c r="C256" s="128">
        <f>VLOOKUP(A249,'KAVVV Records &amp; age-grading'!$A$3:$C$28,3,FALSE)</f>
        <v>5.7870370370370378E-4</v>
      </c>
      <c r="D256" s="122">
        <f t="shared" ref="D256:N256" si="167">$C256/D250</f>
        <v>6.1866977090410918E-4</v>
      </c>
      <c r="E256" s="122">
        <f t="shared" si="167"/>
        <v>6.3916910062260192E-4</v>
      </c>
      <c r="F256" s="122">
        <f t="shared" si="167"/>
        <v>6.6107345636703659E-4</v>
      </c>
      <c r="G256" s="122">
        <f t="shared" si="167"/>
        <v>6.8453241507417052E-4</v>
      </c>
      <c r="H256" s="122">
        <f t="shared" si="167"/>
        <v>7.0971756647498618E-4</v>
      </c>
      <c r="I256" s="122">
        <f t="shared" si="167"/>
        <v>7.3851927476225601E-4</v>
      </c>
      <c r="J256" s="122">
        <f t="shared" si="167"/>
        <v>7.7574223016582276E-4</v>
      </c>
      <c r="K256" s="122">
        <f t="shared" si="167"/>
        <v>8.2861355054940399E-4</v>
      </c>
      <c r="L256" s="122">
        <f t="shared" si="167"/>
        <v>9.0948248263979855E-4</v>
      </c>
      <c r="M256" s="122">
        <f t="shared" si="167"/>
        <v>1.0430852626238352E-3</v>
      </c>
      <c r="N256" s="122">
        <f t="shared" si="167"/>
        <v>1.2903092613237542E-3</v>
      </c>
      <c r="O256" s="121"/>
      <c r="P256" s="122"/>
    </row>
    <row r="257" spans="1:16" x14ac:dyDescent="0.25">
      <c r="A257" s="118"/>
      <c r="B257" s="130"/>
      <c r="C257" s="123"/>
      <c r="D257" s="121"/>
      <c r="E257" s="121"/>
      <c r="F257" s="121"/>
      <c r="G257" s="121"/>
      <c r="H257" s="121"/>
      <c r="I257" s="121"/>
      <c r="J257" s="121"/>
      <c r="K257" s="121"/>
      <c r="L257" s="121"/>
      <c r="M257" s="121"/>
      <c r="N257" s="121"/>
      <c r="O257" s="121"/>
      <c r="P257" s="122"/>
    </row>
    <row r="258" spans="1:16" x14ac:dyDescent="0.25">
      <c r="A258" t="s">
        <v>277</v>
      </c>
      <c r="B258" s="129"/>
      <c r="C258" s="15" t="s">
        <v>243</v>
      </c>
      <c r="D258" s="15" t="s">
        <v>233</v>
      </c>
      <c r="E258" s="15" t="s">
        <v>232</v>
      </c>
      <c r="F258" s="15" t="s">
        <v>234</v>
      </c>
      <c r="G258" s="15" t="s">
        <v>235</v>
      </c>
      <c r="H258" s="15" t="s">
        <v>236</v>
      </c>
      <c r="I258" s="15" t="s">
        <v>237</v>
      </c>
      <c r="J258" s="15" t="s">
        <v>238</v>
      </c>
      <c r="K258" s="15" t="s">
        <v>239</v>
      </c>
      <c r="L258" s="15" t="s">
        <v>240</v>
      </c>
      <c r="M258" s="15" t="s">
        <v>241</v>
      </c>
      <c r="N258" s="15" t="s">
        <v>242</v>
      </c>
      <c r="O258" s="121"/>
      <c r="P258" s="122"/>
    </row>
    <row r="259" spans="1:16" ht="14.4" x14ac:dyDescent="0.3">
      <c r="C259" s="123"/>
      <c r="D259" s="124">
        <f>VLOOKUP($A258,'KAVVV Records &amp; age-grading'!$A$3:$AF$28,20,FALSE)</f>
        <v>0.94569999999999999</v>
      </c>
      <c r="E259" s="124">
        <f>VLOOKUP($A258,'KAVVV Records &amp; age-grading'!$A$3:$AF$28,21,FALSE)</f>
        <v>0.91284999999999994</v>
      </c>
      <c r="F259" s="124">
        <f>VLOOKUP($A258,'KAVVV Records &amp; age-grading'!$A$3:$AF$28,22,FALSE)</f>
        <v>0.88005</v>
      </c>
      <c r="G259" s="124">
        <f>VLOOKUP($A258,'KAVVV Records &amp; age-grading'!$A$3:$AF$28,23,FALSE)</f>
        <v>0.84719999999999995</v>
      </c>
      <c r="H259" s="124">
        <f>VLOOKUP($A258,'KAVVV Records &amp; age-grading'!$A$3:$AF$28,24,FALSE)</f>
        <v>0.81435000000000002</v>
      </c>
      <c r="I259" s="124">
        <f>VLOOKUP($A258,'KAVVV Records &amp; age-grading'!$A$3:$AF$28,25,FALSE)</f>
        <v>0.78059999999999996</v>
      </c>
      <c r="J259" s="124">
        <f>VLOOKUP($A258,'KAVVV Records &amp; age-grading'!$A$3:$AF$28,26,FALSE)</f>
        <v>0.74399999999999999</v>
      </c>
      <c r="K259" s="124">
        <f>VLOOKUP($A258,'KAVVV Records &amp; age-grading'!$A$3:$AF$28,27,FALSE)</f>
        <v>0.69540000000000002</v>
      </c>
      <c r="L259" s="124">
        <f>VLOOKUP($A258,'KAVVV Records &amp; age-grading'!$A$3:$AF$28,28,FALSE)</f>
        <v>0.63219999999999998</v>
      </c>
      <c r="M259" s="124">
        <f>VLOOKUP($A258,'KAVVV Records &amp; age-grading'!$A$3:$AF$28,29,FALSE)</f>
        <v>0.5512999999999999</v>
      </c>
      <c r="N259" s="124">
        <f>VLOOKUP($A258,'KAVVV Records &amp; age-grading'!$A$3:$AF$28,30,FALSE)</f>
        <v>0.44914999999999999</v>
      </c>
      <c r="O259" s="116"/>
    </row>
    <row r="260" spans="1:16" x14ac:dyDescent="0.25">
      <c r="A260" s="118">
        <f>Puntenberekening!$I$22</f>
        <v>0.3</v>
      </c>
      <c r="B260" s="130">
        <v>6</v>
      </c>
      <c r="C260" s="126">
        <f>C265*(1+$A260)</f>
        <v>1.2679513888888888E-3</v>
      </c>
      <c r="D260" s="122">
        <f t="shared" ref="D260:N260" si="168">$C260/D259</f>
        <v>1.3407543500992796E-3</v>
      </c>
      <c r="E260" s="122">
        <f t="shared" si="168"/>
        <v>1.3890030003712427E-3</v>
      </c>
      <c r="F260" s="122">
        <f t="shared" si="168"/>
        <v>1.4407719889652734E-3</v>
      </c>
      <c r="G260" s="122">
        <f t="shared" si="168"/>
        <v>1.4966376167243731E-3</v>
      </c>
      <c r="H260" s="122">
        <f t="shared" si="168"/>
        <v>1.5570103627296479E-3</v>
      </c>
      <c r="I260" s="122">
        <f t="shared" si="168"/>
        <v>1.6243292196885587E-3</v>
      </c>
      <c r="J260" s="122">
        <f t="shared" si="168"/>
        <v>1.7042357377538828E-3</v>
      </c>
      <c r="K260" s="122">
        <f t="shared" si="168"/>
        <v>1.8233410826702455E-3</v>
      </c>
      <c r="L260" s="122">
        <f t="shared" si="168"/>
        <v>2.0056175085240253E-3</v>
      </c>
      <c r="M260" s="122">
        <f t="shared" si="168"/>
        <v>2.2999299635205676E-3</v>
      </c>
      <c r="N260" s="122">
        <f t="shared" si="168"/>
        <v>2.8230020903682262E-3</v>
      </c>
      <c r="O260" s="116"/>
    </row>
    <row r="261" spans="1:16" x14ac:dyDescent="0.25">
      <c r="A261" s="118">
        <f>Puntenberekening!$I$21</f>
        <v>0.22</v>
      </c>
      <c r="B261" s="130">
        <v>7</v>
      </c>
      <c r="C261" s="126">
        <f>C265*(1+$A261)</f>
        <v>1.189923611111111E-3</v>
      </c>
      <c r="D261" s="122">
        <f t="shared" ref="D261:N261" si="169">$C261/D259</f>
        <v>1.2582463900931702E-3</v>
      </c>
      <c r="E261" s="122">
        <f t="shared" si="169"/>
        <v>1.3035258926560893E-3</v>
      </c>
      <c r="F261" s="122">
        <f t="shared" si="169"/>
        <v>1.3521090973366411E-3</v>
      </c>
      <c r="G261" s="122">
        <f t="shared" si="169"/>
        <v>1.4045368403105656E-3</v>
      </c>
      <c r="H261" s="122">
        <f t="shared" si="169"/>
        <v>1.4611943404078233E-3</v>
      </c>
      <c r="I261" s="122">
        <f t="shared" si="169"/>
        <v>1.524370498476955E-3</v>
      </c>
      <c r="J261" s="122">
        <f t="shared" si="169"/>
        <v>1.5993596923536439E-3</v>
      </c>
      <c r="K261" s="122">
        <f t="shared" si="169"/>
        <v>1.7111354775828458E-3</v>
      </c>
      <c r="L261" s="122">
        <f t="shared" si="169"/>
        <v>1.8821948926148544E-3</v>
      </c>
      <c r="M261" s="122">
        <f t="shared" si="169"/>
        <v>2.1583958119193022E-3</v>
      </c>
      <c r="N261" s="122">
        <f t="shared" si="169"/>
        <v>2.6492788848071045E-3</v>
      </c>
      <c r="O261" s="116"/>
    </row>
    <row r="262" spans="1:16" x14ac:dyDescent="0.25">
      <c r="A262" s="118">
        <f>Puntenberekening!$I$20</f>
        <v>0.15</v>
      </c>
      <c r="B262" s="130">
        <v>8</v>
      </c>
      <c r="C262" s="126">
        <f>C265*(1+$A262)</f>
        <v>1.1216493055555554E-3</v>
      </c>
      <c r="D262" s="122">
        <f t="shared" ref="D262:N262" si="170">$C262/D259</f>
        <v>1.1860519250878243E-3</v>
      </c>
      <c r="E262" s="122">
        <f t="shared" si="170"/>
        <v>1.22873342340533E-3</v>
      </c>
      <c r="F262" s="122">
        <f t="shared" si="170"/>
        <v>1.2745290671615879E-3</v>
      </c>
      <c r="G262" s="122">
        <f t="shared" si="170"/>
        <v>1.3239486609484838E-3</v>
      </c>
      <c r="H262" s="122">
        <f t="shared" si="170"/>
        <v>1.3773553208762269E-3</v>
      </c>
      <c r="I262" s="122">
        <f t="shared" si="170"/>
        <v>1.4369066174168019E-3</v>
      </c>
      <c r="J262" s="122">
        <f t="shared" si="170"/>
        <v>1.5075931526284346E-3</v>
      </c>
      <c r="K262" s="122">
        <f t="shared" si="170"/>
        <v>1.612955573131371E-3</v>
      </c>
      <c r="L262" s="122">
        <f t="shared" si="170"/>
        <v>1.7742001036943301E-3</v>
      </c>
      <c r="M262" s="122">
        <f t="shared" si="170"/>
        <v>2.0345534292681945E-3</v>
      </c>
      <c r="N262" s="122">
        <f t="shared" si="170"/>
        <v>2.4972710799411233E-3</v>
      </c>
      <c r="O262" s="116"/>
    </row>
    <row r="263" spans="1:16" x14ac:dyDescent="0.25">
      <c r="A263" s="118">
        <f>Puntenberekening!$I$19</f>
        <v>0.09</v>
      </c>
      <c r="B263" s="130">
        <v>9</v>
      </c>
      <c r="C263" s="126">
        <f>C265*(1+$A263)</f>
        <v>1.0631284722222223E-3</v>
      </c>
      <c r="D263" s="122">
        <f t="shared" ref="D263:N263" si="171">$C263/D259</f>
        <v>1.1241709550832424E-3</v>
      </c>
      <c r="E263" s="122">
        <f t="shared" si="171"/>
        <v>1.164625592618965E-3</v>
      </c>
      <c r="F263" s="122">
        <f t="shared" si="171"/>
        <v>1.208031898440114E-3</v>
      </c>
      <c r="G263" s="122">
        <f t="shared" si="171"/>
        <v>1.2548730786381282E-3</v>
      </c>
      <c r="H263" s="122">
        <f t="shared" si="171"/>
        <v>1.3054933041348588E-3</v>
      </c>
      <c r="I263" s="122">
        <f t="shared" si="171"/>
        <v>1.3619375765080992E-3</v>
      </c>
      <c r="J263" s="122">
        <f t="shared" si="171"/>
        <v>1.4289361185782557E-3</v>
      </c>
      <c r="K263" s="122">
        <f t="shared" si="171"/>
        <v>1.5288013693158214E-3</v>
      </c>
      <c r="L263" s="122">
        <f t="shared" si="171"/>
        <v>1.6816331417624521E-3</v>
      </c>
      <c r="M263" s="122">
        <f t="shared" si="171"/>
        <v>1.9284028155672455E-3</v>
      </c>
      <c r="N263" s="122">
        <f t="shared" si="171"/>
        <v>2.3669786757702822E-3</v>
      </c>
      <c r="O263" s="116"/>
    </row>
    <row r="264" spans="1:16" x14ac:dyDescent="0.25">
      <c r="A264" s="118">
        <f>Puntenberekening!$I$18</f>
        <v>0.04</v>
      </c>
      <c r="B264" s="130">
        <v>10</v>
      </c>
      <c r="C264" s="126">
        <f>C265*(1+$A264)</f>
        <v>1.0143611111111111E-3</v>
      </c>
      <c r="D264" s="122">
        <f t="shared" ref="D264:N264" si="172">$C264/D259</f>
        <v>1.0726034800794238E-3</v>
      </c>
      <c r="E264" s="122">
        <f t="shared" si="172"/>
        <v>1.1112024002969943E-3</v>
      </c>
      <c r="F264" s="122">
        <f t="shared" si="172"/>
        <v>1.1526175911722187E-3</v>
      </c>
      <c r="G264" s="122">
        <f t="shared" si="172"/>
        <v>1.1973100933794984E-3</v>
      </c>
      <c r="H264" s="122">
        <f t="shared" si="172"/>
        <v>1.2456082901837182E-3</v>
      </c>
      <c r="I264" s="122">
        <f t="shared" si="172"/>
        <v>1.2994633757508469E-3</v>
      </c>
      <c r="J264" s="122">
        <f t="shared" si="172"/>
        <v>1.3633885902031063E-3</v>
      </c>
      <c r="K264" s="122">
        <f t="shared" si="172"/>
        <v>1.4586728661361965E-3</v>
      </c>
      <c r="L264" s="122">
        <f t="shared" si="172"/>
        <v>1.6044940068192202E-3</v>
      </c>
      <c r="M264" s="122">
        <f t="shared" si="172"/>
        <v>1.8399439708164543E-3</v>
      </c>
      <c r="N264" s="122">
        <f t="shared" si="172"/>
        <v>2.2584016722945808E-3</v>
      </c>
      <c r="O264" s="116"/>
    </row>
    <row r="265" spans="1:16" x14ac:dyDescent="0.25">
      <c r="A265" s="118">
        <f>Puntenberekening!$I$17</f>
        <v>0</v>
      </c>
      <c r="B265" s="130">
        <v>11</v>
      </c>
      <c r="C265" s="127">
        <f>VLOOKUP(A258,'KAVVV Records &amp; age-grading'!$A$3:$C$28,3,FALSE)</f>
        <v>9.7534722222222218E-4</v>
      </c>
      <c r="D265" s="122">
        <f t="shared" ref="D265:N265" si="173">$C265/D259</f>
        <v>1.031349500076369E-3</v>
      </c>
      <c r="E265" s="122">
        <f t="shared" si="173"/>
        <v>1.0684638464394174E-3</v>
      </c>
      <c r="F265" s="122">
        <f t="shared" si="173"/>
        <v>1.1082861453579026E-3</v>
      </c>
      <c r="G265" s="122">
        <f t="shared" si="173"/>
        <v>1.1512597051725948E-3</v>
      </c>
      <c r="H265" s="122">
        <f t="shared" si="173"/>
        <v>1.1977002790228061E-3</v>
      </c>
      <c r="I265" s="122">
        <f t="shared" si="173"/>
        <v>1.2494840151450451E-3</v>
      </c>
      <c r="J265" s="122">
        <f t="shared" si="173"/>
        <v>1.3109505675029868E-3</v>
      </c>
      <c r="K265" s="122">
        <f t="shared" si="173"/>
        <v>1.4025700635924966E-3</v>
      </c>
      <c r="L265" s="122">
        <f t="shared" si="173"/>
        <v>1.5427826988646349E-3</v>
      </c>
      <c r="M265" s="122">
        <f t="shared" si="173"/>
        <v>1.7691768950158213E-3</v>
      </c>
      <c r="N265" s="122">
        <f t="shared" si="173"/>
        <v>2.1715400695140204E-3</v>
      </c>
    </row>
    <row r="266" spans="1:16" x14ac:dyDescent="0.25">
      <c r="A266" s="118"/>
      <c r="B266" s="130"/>
      <c r="C266" s="123"/>
      <c r="D266" s="121"/>
      <c r="E266" s="121"/>
      <c r="F266" s="121"/>
      <c r="G266" s="121"/>
      <c r="H266" s="121"/>
      <c r="I266" s="121"/>
      <c r="J266" s="121"/>
      <c r="K266" s="121"/>
      <c r="L266" s="121"/>
      <c r="M266" s="121"/>
      <c r="N266" s="121"/>
    </row>
    <row r="267" spans="1:16" x14ac:dyDescent="0.25">
      <c r="A267" t="s">
        <v>248</v>
      </c>
      <c r="B267" s="129"/>
      <c r="C267" s="15" t="s">
        <v>243</v>
      </c>
      <c r="D267" s="15" t="s">
        <v>233</v>
      </c>
      <c r="E267" s="15" t="s">
        <v>232</v>
      </c>
      <c r="F267" s="15" t="s">
        <v>234</v>
      </c>
      <c r="G267" s="15" t="s">
        <v>235</v>
      </c>
      <c r="H267" s="15" t="s">
        <v>236</v>
      </c>
      <c r="I267" s="15" t="s">
        <v>237</v>
      </c>
      <c r="J267" s="15" t="s">
        <v>238</v>
      </c>
      <c r="K267" s="15" t="s">
        <v>239</v>
      </c>
      <c r="L267" s="15" t="s">
        <v>240</v>
      </c>
      <c r="M267" s="15" t="s">
        <v>241</v>
      </c>
      <c r="N267" s="15" t="s">
        <v>242</v>
      </c>
      <c r="O267" s="121"/>
      <c r="P267" s="122"/>
    </row>
    <row r="268" spans="1:16" ht="14.4" x14ac:dyDescent="0.3">
      <c r="C268" s="123"/>
      <c r="D268" s="124">
        <f>VLOOKUP($A267,'KAVVV Records &amp; age-grading'!$A$3:$AF$28,20,FALSE)</f>
        <v>0.95599999999999996</v>
      </c>
      <c r="E268" s="124">
        <f>VLOOKUP($A267,'KAVVV Records &amp; age-grading'!$A$3:$AF$28,21,FALSE)</f>
        <v>0.92030000000000001</v>
      </c>
      <c r="F268" s="124">
        <f>VLOOKUP($A267,'KAVVV Records &amp; age-grading'!$A$3:$AF$28,22,FALSE)</f>
        <v>0.88470000000000004</v>
      </c>
      <c r="G268" s="124">
        <f>VLOOKUP($A267,'KAVVV Records &amp; age-grading'!$A$3:$AF$28,23,FALSE)</f>
        <v>0.84899999999999998</v>
      </c>
      <c r="H268" s="124">
        <f>VLOOKUP($A267,'KAVVV Records &amp; age-grading'!$A$3:$AF$28,24,FALSE)</f>
        <v>0.81330000000000002</v>
      </c>
      <c r="I268" s="124">
        <f>VLOOKUP($A267,'KAVVV Records &amp; age-grading'!$A$3:$AF$28,25,FALSE)</f>
        <v>0.77759999999999996</v>
      </c>
      <c r="J268" s="124">
        <f>VLOOKUP($A267,'KAVVV Records &amp; age-grading'!$A$3:$AF$28,26,FALSE)</f>
        <v>0.74199999999999999</v>
      </c>
      <c r="K268" s="124">
        <f>VLOOKUP($A267,'KAVVV Records &amp; age-grading'!$A$3:$AF$28,27,FALSE)</f>
        <v>0.69240000000000002</v>
      </c>
      <c r="L268" s="124">
        <f>VLOOKUP($A267,'KAVVV Records &amp; age-grading'!$A$3:$AF$28,28,FALSE)</f>
        <v>0.62809999999999999</v>
      </c>
      <c r="M268" s="124">
        <f>VLOOKUP($A267,'KAVVV Records &amp; age-grading'!$A$3:$AF$28,29,FALSE)</f>
        <v>0.54779999999999995</v>
      </c>
      <c r="N268" s="124">
        <f>VLOOKUP($A267,'KAVVV Records &amp; age-grading'!$A$3:$AF$28,30,FALSE)</f>
        <v>0.44979999999999998</v>
      </c>
      <c r="O268" s="116"/>
    </row>
    <row r="269" spans="1:16" x14ac:dyDescent="0.25">
      <c r="A269" s="118">
        <f>Puntenberekening!$I$22</f>
        <v>0.3</v>
      </c>
      <c r="B269" s="130">
        <v>6</v>
      </c>
      <c r="C269" s="126">
        <f>C274*(1+$A269)</f>
        <v>1.7468750000000002E-3</v>
      </c>
      <c r="D269" s="122">
        <f t="shared" ref="D269:N269" si="174">$C269/D268</f>
        <v>1.8272751046025106E-3</v>
      </c>
      <c r="E269" s="122">
        <f t="shared" si="174"/>
        <v>1.8981582092795829E-3</v>
      </c>
      <c r="F269" s="122">
        <f t="shared" si="174"/>
        <v>1.9745393918842546E-3</v>
      </c>
      <c r="G269" s="122">
        <f t="shared" si="174"/>
        <v>2.0575677267373384E-3</v>
      </c>
      <c r="H269" s="122">
        <f t="shared" si="174"/>
        <v>2.1478851592278375E-3</v>
      </c>
      <c r="I269" s="122">
        <f t="shared" si="174"/>
        <v>2.2464956275720168E-3</v>
      </c>
      <c r="J269" s="122">
        <f t="shared" si="174"/>
        <v>2.35427897574124E-3</v>
      </c>
      <c r="K269" s="122">
        <f t="shared" si="174"/>
        <v>2.5229274985557482E-3</v>
      </c>
      <c r="L269" s="122">
        <f t="shared" si="174"/>
        <v>2.7812052220983923E-3</v>
      </c>
      <c r="M269" s="122">
        <f t="shared" si="174"/>
        <v>3.1888919313618116E-3</v>
      </c>
      <c r="N269" s="122">
        <f t="shared" si="174"/>
        <v>3.8836705202312145E-3</v>
      </c>
      <c r="O269" s="116"/>
    </row>
    <row r="270" spans="1:16" x14ac:dyDescent="0.25">
      <c r="A270" s="118">
        <f>Puntenberekening!$I$21</f>
        <v>0.22</v>
      </c>
      <c r="B270" s="130">
        <v>7</v>
      </c>
      <c r="C270" s="126">
        <f>C274*(1+$A270)</f>
        <v>1.639375E-3</v>
      </c>
      <c r="D270" s="122">
        <f t="shared" ref="D270:N270" si="175">$C270/D268</f>
        <v>1.7148274058577406E-3</v>
      </c>
      <c r="E270" s="122">
        <f t="shared" si="175"/>
        <v>1.7813484733239162E-3</v>
      </c>
      <c r="F270" s="122">
        <f t="shared" si="175"/>
        <v>1.8530292754606081E-3</v>
      </c>
      <c r="G270" s="122">
        <f t="shared" si="175"/>
        <v>1.9309481743227327E-3</v>
      </c>
      <c r="H270" s="122">
        <f t="shared" si="175"/>
        <v>2.0157076109676626E-3</v>
      </c>
      <c r="I270" s="122">
        <f t="shared" si="175"/>
        <v>2.108249742798354E-3</v>
      </c>
      <c r="J270" s="122">
        <f t="shared" si="175"/>
        <v>2.2094002695417789E-3</v>
      </c>
      <c r="K270" s="122">
        <f t="shared" si="175"/>
        <v>2.367670421721548E-3</v>
      </c>
      <c r="L270" s="122">
        <f t="shared" si="175"/>
        <v>2.6100541315077219E-3</v>
      </c>
      <c r="M270" s="122">
        <f t="shared" si="175"/>
        <v>2.9926524278933919E-3</v>
      </c>
      <c r="N270" s="122">
        <f t="shared" si="175"/>
        <v>3.6446754112939087E-3</v>
      </c>
      <c r="O270" s="116"/>
    </row>
    <row r="271" spans="1:16" x14ac:dyDescent="0.25">
      <c r="A271" s="118">
        <f>Puntenberekening!$I$20</f>
        <v>0.15</v>
      </c>
      <c r="B271" s="130">
        <v>8</v>
      </c>
      <c r="C271" s="126">
        <f>C274*(1+$A271)</f>
        <v>1.5453125E-3</v>
      </c>
      <c r="D271" s="122">
        <f t="shared" ref="D271:N271" si="176">$C271/D268</f>
        <v>1.616435669456067E-3</v>
      </c>
      <c r="E271" s="122">
        <f t="shared" si="176"/>
        <v>1.6791399543627079E-3</v>
      </c>
      <c r="F271" s="122">
        <f t="shared" si="176"/>
        <v>1.7467079235899173E-3</v>
      </c>
      <c r="G271" s="122">
        <f t="shared" si="176"/>
        <v>1.8201560659599531E-3</v>
      </c>
      <c r="H271" s="122">
        <f t="shared" si="176"/>
        <v>1.9000522562400098E-3</v>
      </c>
      <c r="I271" s="122">
        <f t="shared" si="176"/>
        <v>1.9872845936213992E-3</v>
      </c>
      <c r="J271" s="122">
        <f t="shared" si="176"/>
        <v>2.0826314016172509E-3</v>
      </c>
      <c r="K271" s="122">
        <f t="shared" si="176"/>
        <v>2.2318204794916233E-3</v>
      </c>
      <c r="L271" s="122">
        <f t="shared" si="176"/>
        <v>2.4602969272408855E-3</v>
      </c>
      <c r="M271" s="122">
        <f t="shared" si="176"/>
        <v>2.8209428623585252E-3</v>
      </c>
      <c r="N271" s="122">
        <f t="shared" si="176"/>
        <v>3.4355546909737664E-3</v>
      </c>
      <c r="O271" s="116"/>
    </row>
    <row r="272" spans="1:16" x14ac:dyDescent="0.25">
      <c r="A272" s="118">
        <f>Puntenberekening!$I$19</f>
        <v>0.09</v>
      </c>
      <c r="B272" s="130">
        <v>9</v>
      </c>
      <c r="C272" s="126">
        <f>C274*(1+$A272)</f>
        <v>1.4646875000000003E-3</v>
      </c>
      <c r="D272" s="122">
        <f t="shared" ref="D272:N272" si="177">$C272/D268</f>
        <v>1.53209989539749E-3</v>
      </c>
      <c r="E272" s="122">
        <f t="shared" si="177"/>
        <v>1.5915326523959581E-3</v>
      </c>
      <c r="F272" s="122">
        <f t="shared" si="177"/>
        <v>1.6555753362721829E-3</v>
      </c>
      <c r="G272" s="122">
        <f t="shared" si="177"/>
        <v>1.7251914016489993E-3</v>
      </c>
      <c r="H272" s="122">
        <f t="shared" si="177"/>
        <v>1.8009190950448791E-3</v>
      </c>
      <c r="I272" s="122">
        <f t="shared" si="177"/>
        <v>1.8836001800411528E-3</v>
      </c>
      <c r="J272" s="122">
        <f t="shared" si="177"/>
        <v>1.9739723719676555E-3</v>
      </c>
      <c r="K272" s="122">
        <f t="shared" si="177"/>
        <v>2.1153776718659738E-3</v>
      </c>
      <c r="L272" s="122">
        <f t="shared" si="177"/>
        <v>2.331933609297883E-3</v>
      </c>
      <c r="M272" s="122">
        <f t="shared" si="177"/>
        <v>2.6737632347572115E-3</v>
      </c>
      <c r="N272" s="122">
        <f t="shared" si="177"/>
        <v>3.2563083592707879E-3</v>
      </c>
      <c r="O272" s="116"/>
    </row>
    <row r="273" spans="1:16" x14ac:dyDescent="0.25">
      <c r="A273" s="118">
        <f>Puntenberekening!$I$18</f>
        <v>0.04</v>
      </c>
      <c r="B273" s="130">
        <v>10</v>
      </c>
      <c r="C273" s="126">
        <f>C274*(1+$A273)</f>
        <v>1.3975000000000001E-3</v>
      </c>
      <c r="D273" s="122">
        <f t="shared" ref="D273:N273" si="178">$C273/D268</f>
        <v>1.4618200836820085E-3</v>
      </c>
      <c r="E273" s="122">
        <f t="shared" si="178"/>
        <v>1.5185265674236663E-3</v>
      </c>
      <c r="F273" s="122">
        <f t="shared" si="178"/>
        <v>1.5796315135074037E-3</v>
      </c>
      <c r="G273" s="122">
        <f t="shared" si="178"/>
        <v>1.6460541813898707E-3</v>
      </c>
      <c r="H273" s="122">
        <f t="shared" si="178"/>
        <v>1.7183081273822699E-3</v>
      </c>
      <c r="I273" s="122">
        <f t="shared" si="178"/>
        <v>1.7971965020576134E-3</v>
      </c>
      <c r="J273" s="122">
        <f t="shared" si="178"/>
        <v>1.8834231805929921E-3</v>
      </c>
      <c r="K273" s="122">
        <f t="shared" si="178"/>
        <v>2.0183419988445985E-3</v>
      </c>
      <c r="L273" s="122">
        <f t="shared" si="178"/>
        <v>2.2249641776787136E-3</v>
      </c>
      <c r="M273" s="122">
        <f t="shared" si="178"/>
        <v>2.5511135450894491E-3</v>
      </c>
      <c r="N273" s="122">
        <f t="shared" si="178"/>
        <v>3.1069364161849713E-3</v>
      </c>
      <c r="O273" s="116"/>
    </row>
    <row r="274" spans="1:16" x14ac:dyDescent="0.25">
      <c r="A274" s="118">
        <f>Puntenberekening!$I$17</f>
        <v>0</v>
      </c>
      <c r="B274" s="130">
        <v>11</v>
      </c>
      <c r="C274" s="127">
        <f>VLOOKUP(A267,'KAVVV Records &amp; age-grading'!$A$3:$C$28,3,FALSE)</f>
        <v>1.3437500000000001E-3</v>
      </c>
      <c r="D274" s="122">
        <f t="shared" ref="D274:N274" si="179">$C274/D268</f>
        <v>1.4055962343096236E-3</v>
      </c>
      <c r="E274" s="122">
        <f t="shared" si="179"/>
        <v>1.4601216994458331E-3</v>
      </c>
      <c r="F274" s="122">
        <f t="shared" si="179"/>
        <v>1.5188764552955805E-3</v>
      </c>
      <c r="G274" s="122">
        <f t="shared" si="179"/>
        <v>1.5827444051825679E-3</v>
      </c>
      <c r="H274" s="122">
        <f t="shared" si="179"/>
        <v>1.6522193532521826E-3</v>
      </c>
      <c r="I274" s="122">
        <f t="shared" si="179"/>
        <v>1.7280735596707821E-3</v>
      </c>
      <c r="J274" s="122">
        <f t="shared" si="179"/>
        <v>1.8109838274932616E-3</v>
      </c>
      <c r="K274" s="122">
        <f t="shared" si="179"/>
        <v>1.9407134604274986E-3</v>
      </c>
      <c r="L274" s="122">
        <f t="shared" si="179"/>
        <v>2.1393886323833786E-3</v>
      </c>
      <c r="M274" s="122">
        <f t="shared" si="179"/>
        <v>2.4529937933552397E-3</v>
      </c>
      <c r="N274" s="122">
        <f t="shared" si="179"/>
        <v>2.9874388617163188E-3</v>
      </c>
    </row>
    <row r="275" spans="1:16" x14ac:dyDescent="0.25">
      <c r="A275" s="118"/>
      <c r="B275" s="130"/>
      <c r="C275" s="123"/>
      <c r="D275" s="121"/>
      <c r="E275" s="121"/>
      <c r="F275" s="121"/>
      <c r="G275" s="121"/>
      <c r="H275" s="121"/>
      <c r="I275" s="121"/>
      <c r="J275" s="121"/>
      <c r="K275" s="121"/>
      <c r="L275" s="121"/>
      <c r="M275" s="121"/>
      <c r="N275" s="121"/>
    </row>
    <row r="276" spans="1:16" x14ac:dyDescent="0.25">
      <c r="A276" t="s">
        <v>249</v>
      </c>
      <c r="B276" s="129"/>
      <c r="C276" s="15" t="s">
        <v>243</v>
      </c>
      <c r="D276" s="15" t="s">
        <v>233</v>
      </c>
      <c r="E276" s="15" t="s">
        <v>232</v>
      </c>
      <c r="F276" s="15" t="s">
        <v>234</v>
      </c>
      <c r="G276" s="15" t="s">
        <v>235</v>
      </c>
      <c r="H276" s="15" t="s">
        <v>236</v>
      </c>
      <c r="I276" s="15" t="s">
        <v>237</v>
      </c>
      <c r="J276" s="15" t="s">
        <v>238</v>
      </c>
      <c r="K276" s="15" t="s">
        <v>239</v>
      </c>
      <c r="L276" s="15" t="s">
        <v>240</v>
      </c>
      <c r="M276" s="15" t="s">
        <v>241</v>
      </c>
      <c r="N276" s="15" t="s">
        <v>242</v>
      </c>
      <c r="O276" s="121"/>
      <c r="P276" s="122"/>
    </row>
    <row r="277" spans="1:16" ht="14.4" x14ac:dyDescent="0.3">
      <c r="C277" s="123"/>
      <c r="D277" s="124">
        <f>VLOOKUP($A276,'KAVVV Records &amp; age-grading'!$A$3:$AF$28,20,FALSE)</f>
        <v>0.95369999999999999</v>
      </c>
      <c r="E277" s="124">
        <f>VLOOKUP($A276,'KAVVV Records &amp; age-grading'!$A$3:$AF$28,21,FALSE)</f>
        <v>0.91459999999999997</v>
      </c>
      <c r="F277" s="124">
        <f>VLOOKUP($A276,'KAVVV Records &amp; age-grading'!$A$3:$AF$28,22,FALSE)</f>
        <v>0.87549999999999994</v>
      </c>
      <c r="G277" s="124">
        <f>VLOOKUP($A276,'KAVVV Records &amp; age-grading'!$A$3:$AF$28,23,FALSE)</f>
        <v>0.83640000000000003</v>
      </c>
      <c r="H277" s="124">
        <f>VLOOKUP($A276,'KAVVV Records &amp; age-grading'!$A$3:$AF$28,24,FALSE)</f>
        <v>0.79679999999999995</v>
      </c>
      <c r="I277" s="124">
        <f>VLOOKUP($A276,'KAVVV Records &amp; age-grading'!$A$3:$AF$28,25,FALSE)</f>
        <v>0.75609999999999999</v>
      </c>
      <c r="J277" s="124">
        <f>VLOOKUP($A276,'KAVVV Records &amp; age-grading'!$A$3:$AF$28,26,FALSE)</f>
        <v>0.71109999999999995</v>
      </c>
      <c r="K277" s="124">
        <f>VLOOKUP($A276,'KAVVV Records &amp; age-grading'!$A$3:$AF$28,27,FALSE)</f>
        <v>0.65880000000000005</v>
      </c>
      <c r="L277" s="124">
        <f>VLOOKUP($A276,'KAVVV Records &amp; age-grading'!$A$3:$AF$28,28,FALSE)</f>
        <v>0.59519999999999995</v>
      </c>
      <c r="M277" s="124">
        <f>VLOOKUP($A276,'KAVVV Records &amp; age-grading'!$A$3:$AF$28,29,FALSE)</f>
        <v>0.51529999999999998</v>
      </c>
      <c r="N277" s="124">
        <f>VLOOKUP($A276,'KAVVV Records &amp; age-grading'!$A$3:$AF$28,30,FALSE)</f>
        <v>0.41270000000000001</v>
      </c>
      <c r="O277" s="116"/>
    </row>
    <row r="278" spans="1:16" x14ac:dyDescent="0.25">
      <c r="A278" s="118">
        <f>Puntenberekening!$I$22</f>
        <v>0.3</v>
      </c>
      <c r="B278" s="130">
        <v>6</v>
      </c>
      <c r="C278" s="126">
        <f>C283*(1+$A278)</f>
        <v>2.2205324074074076E-3</v>
      </c>
      <c r="D278" s="122">
        <f t="shared" ref="D278:N278" si="180">$C278/D277</f>
        <v>2.3283342847933391E-3</v>
      </c>
      <c r="E278" s="122">
        <f t="shared" si="180"/>
        <v>2.4278727393477013E-3</v>
      </c>
      <c r="F278" s="122">
        <f t="shared" si="180"/>
        <v>2.5363020073185696E-3</v>
      </c>
      <c r="G278" s="122">
        <f t="shared" si="180"/>
        <v>2.654868971075332E-3</v>
      </c>
      <c r="H278" s="122">
        <f t="shared" si="180"/>
        <v>2.7868127603004615E-3</v>
      </c>
      <c r="I278" s="122">
        <f t="shared" si="180"/>
        <v>2.9368237103655701E-3</v>
      </c>
      <c r="J278" s="122">
        <f t="shared" si="180"/>
        <v>3.1226724896743184E-3</v>
      </c>
      <c r="K278" s="122">
        <f t="shared" si="180"/>
        <v>3.3705713530774247E-3</v>
      </c>
      <c r="L278" s="122">
        <f t="shared" si="180"/>
        <v>3.7307332113699727E-3</v>
      </c>
      <c r="M278" s="122">
        <f t="shared" si="180"/>
        <v>4.3092031969870128E-3</v>
      </c>
      <c r="N278" s="122">
        <f t="shared" si="180"/>
        <v>5.3805001391020292E-3</v>
      </c>
      <c r="O278" s="116"/>
    </row>
    <row r="279" spans="1:16" x14ac:dyDescent="0.25">
      <c r="A279" s="118">
        <f>Puntenberekening!$I$21</f>
        <v>0.22</v>
      </c>
      <c r="B279" s="130">
        <v>7</v>
      </c>
      <c r="C279" s="126">
        <f>C283*(1+$A279)</f>
        <v>2.0838842592592593E-3</v>
      </c>
      <c r="D279" s="122">
        <f t="shared" ref="D279:N279" si="181">$C279/D277</f>
        <v>2.1850521749599027E-3</v>
      </c>
      <c r="E279" s="122">
        <f t="shared" si="181"/>
        <v>2.2784651861570736E-3</v>
      </c>
      <c r="F279" s="122">
        <f t="shared" si="181"/>
        <v>2.3802218837912729E-3</v>
      </c>
      <c r="G279" s="122">
        <f t="shared" si="181"/>
        <v>2.4914924190091573E-3</v>
      </c>
      <c r="H279" s="122">
        <f t="shared" si="181"/>
        <v>2.6153165904358173E-3</v>
      </c>
      <c r="I279" s="122">
        <f t="shared" si="181"/>
        <v>2.7560960974199965E-3</v>
      </c>
      <c r="J279" s="122">
        <f t="shared" si="181"/>
        <v>2.9305080287712832E-3</v>
      </c>
      <c r="K279" s="122">
        <f t="shared" si="181"/>
        <v>3.1631515775034291E-3</v>
      </c>
      <c r="L279" s="122">
        <f t="shared" si="181"/>
        <v>3.5011496291318203E-3</v>
      </c>
      <c r="M279" s="122">
        <f t="shared" si="181"/>
        <v>4.0440214617878121E-3</v>
      </c>
      <c r="N279" s="122">
        <f t="shared" si="181"/>
        <v>5.0493924382342117E-3</v>
      </c>
      <c r="O279" s="116"/>
    </row>
    <row r="280" spans="1:16" x14ac:dyDescent="0.25">
      <c r="A280" s="118">
        <f>Puntenberekening!$I$20</f>
        <v>0.15</v>
      </c>
      <c r="B280" s="130">
        <v>8</v>
      </c>
      <c r="C280" s="126">
        <f>C283*(1+$A280)</f>
        <v>1.9643171296296297E-3</v>
      </c>
      <c r="D280" s="122">
        <f t="shared" ref="D280:N280" si="182">$C280/D277</f>
        <v>2.0596803288556462E-3</v>
      </c>
      <c r="E280" s="122">
        <f t="shared" si="182"/>
        <v>2.1477335771152742E-3</v>
      </c>
      <c r="F280" s="122">
        <f t="shared" si="182"/>
        <v>2.2436517757048885E-3</v>
      </c>
      <c r="G280" s="122">
        <f t="shared" si="182"/>
        <v>2.3485379359512548E-3</v>
      </c>
      <c r="H280" s="122">
        <f t="shared" si="182"/>
        <v>2.4652574418042544E-3</v>
      </c>
      <c r="I280" s="122">
        <f t="shared" si="182"/>
        <v>2.5979594360926194E-3</v>
      </c>
      <c r="J280" s="122">
        <f t="shared" si="182"/>
        <v>2.7623641254811275E-3</v>
      </c>
      <c r="K280" s="122">
        <f t="shared" si="182"/>
        <v>2.9816592738761832E-3</v>
      </c>
      <c r="L280" s="122">
        <f t="shared" si="182"/>
        <v>3.3002639946734373E-3</v>
      </c>
      <c r="M280" s="122">
        <f t="shared" si="182"/>
        <v>3.8119874434885109E-3</v>
      </c>
      <c r="N280" s="122">
        <f t="shared" si="182"/>
        <v>4.7596731999748716E-3</v>
      </c>
      <c r="O280" s="116"/>
    </row>
    <row r="281" spans="1:16" x14ac:dyDescent="0.25">
      <c r="A281" s="118">
        <f>Puntenberekening!$I$19</f>
        <v>0.09</v>
      </c>
      <c r="B281" s="130">
        <v>9</v>
      </c>
      <c r="C281" s="126">
        <f>C283*(1+$A281)</f>
        <v>1.8618310185185187E-3</v>
      </c>
      <c r="D281" s="122">
        <f t="shared" ref="D281:N281" si="183">$C281/D277</f>
        <v>1.9522187464805691E-3</v>
      </c>
      <c r="E281" s="122">
        <f t="shared" si="183"/>
        <v>2.0356779122223034E-3</v>
      </c>
      <c r="F281" s="122">
        <f t="shared" si="183"/>
        <v>2.126591683059416E-3</v>
      </c>
      <c r="G281" s="122">
        <f t="shared" si="183"/>
        <v>2.2260055219016244E-3</v>
      </c>
      <c r="H281" s="122">
        <f t="shared" si="183"/>
        <v>2.3366353144057715E-3</v>
      </c>
      <c r="I281" s="122">
        <f t="shared" si="183"/>
        <v>2.4624137263834396E-3</v>
      </c>
      <c r="J281" s="122">
        <f t="shared" si="183"/>
        <v>2.6182407798038517E-3</v>
      </c>
      <c r="K281" s="122">
        <f t="shared" si="183"/>
        <v>2.8260944421956871E-3</v>
      </c>
      <c r="L281" s="122">
        <f t="shared" si="183"/>
        <v>3.1280763079948233E-3</v>
      </c>
      <c r="M281" s="122">
        <f t="shared" si="183"/>
        <v>3.6131011420891109E-3</v>
      </c>
      <c r="N281" s="122">
        <f t="shared" si="183"/>
        <v>4.5113424243240097E-3</v>
      </c>
      <c r="O281" s="116"/>
    </row>
    <row r="282" spans="1:16" x14ac:dyDescent="0.25">
      <c r="A282" s="118">
        <f>Puntenberekening!$I$18</f>
        <v>0.04</v>
      </c>
      <c r="B282" s="130">
        <v>10</v>
      </c>
      <c r="C282" s="126">
        <f>C283*(1+$A282)</f>
        <v>1.7764259259259261E-3</v>
      </c>
      <c r="D282" s="122">
        <f t="shared" ref="D282:N282" si="184">$C282/D277</f>
        <v>1.8626674278346715E-3</v>
      </c>
      <c r="E282" s="122">
        <f t="shared" si="184"/>
        <v>1.9422981914781611E-3</v>
      </c>
      <c r="F282" s="122">
        <f t="shared" si="184"/>
        <v>2.0290416058548555E-3</v>
      </c>
      <c r="G282" s="122">
        <f t="shared" si="184"/>
        <v>2.1238951768602654E-3</v>
      </c>
      <c r="H282" s="122">
        <f t="shared" si="184"/>
        <v>2.2294502082403694E-3</v>
      </c>
      <c r="I282" s="122">
        <f t="shared" si="184"/>
        <v>2.3494589682924562E-3</v>
      </c>
      <c r="J282" s="122">
        <f t="shared" si="184"/>
        <v>2.4981379917394545E-3</v>
      </c>
      <c r="K282" s="122">
        <f t="shared" si="184"/>
        <v>2.6964570824619398E-3</v>
      </c>
      <c r="L282" s="122">
        <f t="shared" si="184"/>
        <v>2.9845865690959783E-3</v>
      </c>
      <c r="M282" s="122">
        <f t="shared" si="184"/>
        <v>3.4473625575896102E-3</v>
      </c>
      <c r="N282" s="122">
        <f t="shared" si="184"/>
        <v>4.3044001112816236E-3</v>
      </c>
      <c r="O282" s="116"/>
    </row>
    <row r="283" spans="1:16" x14ac:dyDescent="0.25">
      <c r="A283" s="118">
        <f>Puntenberekening!$I$17</f>
        <v>0</v>
      </c>
      <c r="B283" s="130">
        <v>11</v>
      </c>
      <c r="C283" s="127">
        <f>VLOOKUP(A276,'KAVVV Records &amp; age-grading'!$A$3:$C$28,3,FALSE)</f>
        <v>1.7081018518518519E-3</v>
      </c>
      <c r="D283" s="122">
        <f t="shared" ref="D283:N283" si="185">$C283/D277</f>
        <v>1.7910263729179533E-3</v>
      </c>
      <c r="E283" s="122">
        <f t="shared" si="185"/>
        <v>1.867594414882847E-3</v>
      </c>
      <c r="F283" s="122">
        <f t="shared" si="185"/>
        <v>1.9510015440912074E-3</v>
      </c>
      <c r="G283" s="122">
        <f t="shared" si="185"/>
        <v>2.042206900827178E-3</v>
      </c>
      <c r="H283" s="122">
        <f t="shared" si="185"/>
        <v>2.1437021233080473E-3</v>
      </c>
      <c r="I283" s="122">
        <f t="shared" si="185"/>
        <v>2.2590951618196692E-3</v>
      </c>
      <c r="J283" s="122">
        <f t="shared" si="185"/>
        <v>2.4020557612879369E-3</v>
      </c>
      <c r="K283" s="122">
        <f t="shared" si="185"/>
        <v>2.5927471946749418E-3</v>
      </c>
      <c r="L283" s="122">
        <f t="shared" si="185"/>
        <v>2.8697947779769018E-3</v>
      </c>
      <c r="M283" s="122">
        <f t="shared" si="185"/>
        <v>3.3147716899900098E-3</v>
      </c>
      <c r="N283" s="122">
        <f t="shared" si="185"/>
        <v>4.1388462608477148E-3</v>
      </c>
    </row>
    <row r="284" spans="1:16" x14ac:dyDescent="0.25">
      <c r="A284" s="118"/>
      <c r="B284" s="130"/>
      <c r="C284" s="123"/>
      <c r="D284" s="121"/>
      <c r="E284" s="121"/>
      <c r="F284" s="121"/>
      <c r="G284" s="121"/>
      <c r="H284" s="121"/>
      <c r="I284" s="121"/>
      <c r="J284" s="121"/>
      <c r="K284" s="121"/>
      <c r="L284" s="121"/>
      <c r="M284" s="121"/>
      <c r="N284" s="121"/>
    </row>
    <row r="285" spans="1:16" x14ac:dyDescent="0.25">
      <c r="A285" t="s">
        <v>250</v>
      </c>
      <c r="B285" s="129"/>
      <c r="C285" s="15" t="s">
        <v>243</v>
      </c>
      <c r="D285" s="15" t="s">
        <v>233</v>
      </c>
      <c r="E285" s="15" t="s">
        <v>232</v>
      </c>
      <c r="F285" s="15" t="s">
        <v>234</v>
      </c>
      <c r="G285" s="15" t="s">
        <v>235</v>
      </c>
      <c r="H285" s="15" t="s">
        <v>236</v>
      </c>
      <c r="I285" s="15" t="s">
        <v>237</v>
      </c>
      <c r="J285" s="15" t="s">
        <v>238</v>
      </c>
      <c r="K285" s="15" t="s">
        <v>239</v>
      </c>
      <c r="L285" s="15" t="s">
        <v>240</v>
      </c>
      <c r="M285" s="15" t="s">
        <v>241</v>
      </c>
      <c r="N285" s="15" t="s">
        <v>242</v>
      </c>
      <c r="O285" s="121"/>
      <c r="P285" s="122"/>
    </row>
    <row r="286" spans="1:16" ht="14.4" x14ac:dyDescent="0.3">
      <c r="C286" s="123"/>
      <c r="D286" s="124">
        <f>VLOOKUP($A285,'KAVVV Records &amp; age-grading'!$A$3:$AF$28,20,FALSE)</f>
        <v>0.95189999999999997</v>
      </c>
      <c r="E286" s="124">
        <f>VLOOKUP($A285,'KAVVV Records &amp; age-grading'!$A$3:$AF$28,21,FALSE)</f>
        <v>0.91249999999999998</v>
      </c>
      <c r="F286" s="124">
        <f>VLOOKUP($A285,'KAVVV Records &amp; age-grading'!$A$3:$AF$28,22,FALSE)</f>
        <v>0.87309999999999999</v>
      </c>
      <c r="G286" s="124">
        <f>VLOOKUP($A285,'KAVVV Records &amp; age-grading'!$A$3:$AF$28,23,FALSE)</f>
        <v>0.8337</v>
      </c>
      <c r="H286" s="124">
        <f>VLOOKUP($A285,'KAVVV Records &amp; age-grading'!$A$3:$AF$28,24,FALSE)</f>
        <v>0.79390000000000005</v>
      </c>
      <c r="I286" s="124">
        <f>VLOOKUP($A285,'KAVVV Records &amp; age-grading'!$A$3:$AF$28,25,FALSE)</f>
        <v>0.75290000000000001</v>
      </c>
      <c r="J286" s="124">
        <f>VLOOKUP($A285,'KAVVV Records &amp; age-grading'!$A$3:$AF$28,26,FALSE)</f>
        <v>0.70789999999999997</v>
      </c>
      <c r="K286" s="124">
        <f>VLOOKUP($A285,'KAVVV Records &amp; age-grading'!$A$3:$AF$28,27,FALSE)</f>
        <v>0.65559999999999996</v>
      </c>
      <c r="L286" s="124">
        <f>VLOOKUP($A285,'KAVVV Records &amp; age-grading'!$A$3:$AF$28,28,FALSE)</f>
        <v>0.59199999999999997</v>
      </c>
      <c r="M286" s="124">
        <f>VLOOKUP($A285,'KAVVV Records &amp; age-grading'!$A$3:$AF$28,29,FALSE)</f>
        <v>0.5121</v>
      </c>
      <c r="N286" s="124">
        <f>VLOOKUP($A285,'KAVVV Records &amp; age-grading'!$A$3:$AF$28,30,FALSE)</f>
        <v>0.40949999999999998</v>
      </c>
      <c r="O286" s="116"/>
    </row>
    <row r="287" spans="1:16" x14ac:dyDescent="0.25">
      <c r="A287" s="118">
        <f>Puntenberekening!$I$22</f>
        <v>0.3</v>
      </c>
      <c r="B287" s="130">
        <v>6</v>
      </c>
      <c r="C287" s="126">
        <f>C292*(1+$A287)</f>
        <v>3.6261574074074074E-3</v>
      </c>
      <c r="D287" s="122">
        <f t="shared" ref="D287:N287" si="186">$C287/D286</f>
        <v>3.8093890192324904E-3</v>
      </c>
      <c r="E287" s="122">
        <f t="shared" si="186"/>
        <v>3.9738711314053782E-3</v>
      </c>
      <c r="F287" s="122">
        <f t="shared" si="186"/>
        <v>4.1531982675608835E-3</v>
      </c>
      <c r="G287" s="122">
        <f t="shared" si="186"/>
        <v>4.3494751198361612E-3</v>
      </c>
      <c r="H287" s="122">
        <f t="shared" si="186"/>
        <v>4.5675241307562755E-3</v>
      </c>
      <c r="I287" s="122">
        <f t="shared" si="186"/>
        <v>4.81625369558694E-3</v>
      </c>
      <c r="J287" s="122">
        <f t="shared" si="186"/>
        <v>5.1224147583096586E-3</v>
      </c>
      <c r="K287" s="122">
        <f t="shared" si="186"/>
        <v>5.531051567125393E-3</v>
      </c>
      <c r="L287" s="122">
        <f t="shared" si="186"/>
        <v>6.125265890890891E-3</v>
      </c>
      <c r="M287" s="122">
        <f t="shared" si="186"/>
        <v>7.080955687184939E-3</v>
      </c>
      <c r="N287" s="122">
        <f t="shared" si="186"/>
        <v>8.8550852439741329E-3</v>
      </c>
      <c r="O287" s="116"/>
    </row>
    <row r="288" spans="1:16" x14ac:dyDescent="0.25">
      <c r="A288" s="118">
        <f>Puntenberekening!$I$21</f>
        <v>0.22</v>
      </c>
      <c r="B288" s="130">
        <v>7</v>
      </c>
      <c r="C288" s="126">
        <f>C292*(1+$A288)</f>
        <v>3.4030092592592593E-3</v>
      </c>
      <c r="D288" s="122">
        <f t="shared" ref="D288:N288" si="187">$C288/D286</f>
        <v>3.5749650795874142E-3</v>
      </c>
      <c r="E288" s="122">
        <f t="shared" si="187"/>
        <v>3.7293252156265855E-3</v>
      </c>
      <c r="F288" s="122">
        <f t="shared" si="187"/>
        <v>3.8976168357109831E-3</v>
      </c>
      <c r="G288" s="122">
        <f t="shared" si="187"/>
        <v>4.0818151124616276E-3</v>
      </c>
      <c r="H288" s="122">
        <f t="shared" si="187"/>
        <v>4.2864457227097356E-3</v>
      </c>
      <c r="I288" s="122">
        <f t="shared" si="187"/>
        <v>4.5198688527815899E-3</v>
      </c>
      <c r="J288" s="122">
        <f t="shared" si="187"/>
        <v>4.8071892347213725E-3</v>
      </c>
      <c r="K288" s="122">
        <f t="shared" si="187"/>
        <v>5.1906791629945997E-3</v>
      </c>
      <c r="L288" s="122">
        <f t="shared" si="187"/>
        <v>5.7483264514514515E-3</v>
      </c>
      <c r="M288" s="122">
        <f t="shared" si="187"/>
        <v>6.6452045679735589E-3</v>
      </c>
      <c r="N288" s="122">
        <f t="shared" si="187"/>
        <v>8.3101569212680332E-3</v>
      </c>
      <c r="O288" s="116"/>
    </row>
    <row r="289" spans="1:16" x14ac:dyDescent="0.25">
      <c r="A289" s="118">
        <f>Puntenberekening!$I$20</f>
        <v>0.15</v>
      </c>
      <c r="B289" s="130">
        <v>8</v>
      </c>
      <c r="C289" s="126">
        <f>C292*(1+$A289)</f>
        <v>3.2077546296296294E-3</v>
      </c>
      <c r="D289" s="122">
        <f t="shared" ref="D289:N289" si="188">$C289/D286</f>
        <v>3.3698441323979718E-3</v>
      </c>
      <c r="E289" s="122">
        <f t="shared" si="188"/>
        <v>3.5153475393201418E-3</v>
      </c>
      <c r="F289" s="122">
        <f t="shared" si="188"/>
        <v>3.6739830828423198E-3</v>
      </c>
      <c r="G289" s="122">
        <f t="shared" si="188"/>
        <v>3.8476126060089113E-3</v>
      </c>
      <c r="H289" s="122">
        <f t="shared" si="188"/>
        <v>4.0405021156690131E-3</v>
      </c>
      <c r="I289" s="122">
        <f t="shared" si="188"/>
        <v>4.2605321153269086E-3</v>
      </c>
      <c r="J289" s="122">
        <f t="shared" si="188"/>
        <v>4.5313669015816212E-3</v>
      </c>
      <c r="K289" s="122">
        <f t="shared" si="188"/>
        <v>4.8928533093801551E-3</v>
      </c>
      <c r="L289" s="122">
        <f t="shared" si="188"/>
        <v>5.4185044419419416E-3</v>
      </c>
      <c r="M289" s="122">
        <f t="shared" si="188"/>
        <v>6.2639223386635997E-3</v>
      </c>
      <c r="N289" s="122">
        <f t="shared" si="188"/>
        <v>7.8333446389001939E-3</v>
      </c>
      <c r="O289" s="116"/>
    </row>
    <row r="290" spans="1:16" x14ac:dyDescent="0.25">
      <c r="A290" s="118">
        <f>Puntenberekening!$I$19</f>
        <v>0.09</v>
      </c>
      <c r="B290" s="130">
        <v>9</v>
      </c>
      <c r="C290" s="126">
        <f>C292*(1+$A290)</f>
        <v>3.0403935185185187E-3</v>
      </c>
      <c r="D290" s="122">
        <f t="shared" ref="D290:N290" si="189">$C290/D286</f>
        <v>3.194026177664165E-3</v>
      </c>
      <c r="E290" s="122">
        <f t="shared" si="189"/>
        <v>3.3319381024860479E-3</v>
      </c>
      <c r="F290" s="122">
        <f t="shared" si="189"/>
        <v>3.4822970089548951E-3</v>
      </c>
      <c r="G290" s="122">
        <f t="shared" si="189"/>
        <v>3.6468676004780122E-3</v>
      </c>
      <c r="H290" s="122">
        <f t="shared" si="189"/>
        <v>3.8296933096341082E-3</v>
      </c>
      <c r="I290" s="122">
        <f t="shared" si="189"/>
        <v>4.0382434832228961E-3</v>
      </c>
      <c r="J290" s="122">
        <f t="shared" si="189"/>
        <v>4.2949477588904066E-3</v>
      </c>
      <c r="K290" s="122">
        <f t="shared" si="189"/>
        <v>4.6375740062820602E-3</v>
      </c>
      <c r="L290" s="122">
        <f t="shared" si="189"/>
        <v>5.1357998623623629E-3</v>
      </c>
      <c r="M290" s="122">
        <f t="shared" si="189"/>
        <v>5.9371089992550649E-3</v>
      </c>
      <c r="N290" s="122">
        <f t="shared" si="189"/>
        <v>7.4246483968706195E-3</v>
      </c>
      <c r="O290" s="116"/>
    </row>
    <row r="291" spans="1:16" x14ac:dyDescent="0.25">
      <c r="A291" s="118">
        <f>Puntenberekening!$I$18</f>
        <v>0.04</v>
      </c>
      <c r="B291" s="130">
        <v>10</v>
      </c>
      <c r="C291" s="126">
        <f>C292*(1+$A291)</f>
        <v>2.9009259259259262E-3</v>
      </c>
      <c r="D291" s="122">
        <f t="shared" ref="D291:N291" si="190">$C291/D286</f>
        <v>3.0475112153859926E-3</v>
      </c>
      <c r="E291" s="122">
        <f t="shared" si="190"/>
        <v>3.1790969051243025E-3</v>
      </c>
      <c r="F291" s="122">
        <f t="shared" si="190"/>
        <v>3.322558614048707E-3</v>
      </c>
      <c r="G291" s="122">
        <f t="shared" si="190"/>
        <v>3.479580095868929E-3</v>
      </c>
      <c r="H291" s="122">
        <f t="shared" si="190"/>
        <v>3.6540193046050206E-3</v>
      </c>
      <c r="I291" s="122">
        <f t="shared" si="190"/>
        <v>3.8530029564695523E-3</v>
      </c>
      <c r="J291" s="122">
        <f t="shared" si="190"/>
        <v>4.0979318066477277E-3</v>
      </c>
      <c r="K291" s="122">
        <f t="shared" si="190"/>
        <v>4.4248412537003148E-3</v>
      </c>
      <c r="L291" s="122">
        <f t="shared" si="190"/>
        <v>4.9002127127127136E-3</v>
      </c>
      <c r="M291" s="122">
        <f t="shared" si="190"/>
        <v>5.6647645497479521E-3</v>
      </c>
      <c r="N291" s="122">
        <f t="shared" si="190"/>
        <v>7.0840681951793074E-3</v>
      </c>
      <c r="O291" s="116"/>
    </row>
    <row r="292" spans="1:16" x14ac:dyDescent="0.25">
      <c r="A292" s="118">
        <f>Puntenberekening!$I$17</f>
        <v>0</v>
      </c>
      <c r="B292" s="130">
        <v>11</v>
      </c>
      <c r="C292" s="127">
        <f>VLOOKUP(A285,'KAVVV Records &amp; age-grading'!$A$3:$C$28,3,FALSE)</f>
        <v>2.7893518518518519E-3</v>
      </c>
      <c r="D292" s="122">
        <f t="shared" ref="D292:N292" si="191">$C292/D286</f>
        <v>2.930299245563454E-3</v>
      </c>
      <c r="E292" s="122">
        <f t="shared" si="191"/>
        <v>3.0568239472349061E-3</v>
      </c>
      <c r="F292" s="122">
        <f t="shared" si="191"/>
        <v>3.1947678981237566E-3</v>
      </c>
      <c r="G292" s="122">
        <f t="shared" si="191"/>
        <v>3.3457500921816622E-3</v>
      </c>
      <c r="H292" s="122">
        <f t="shared" si="191"/>
        <v>3.5134801005817506E-3</v>
      </c>
      <c r="I292" s="122">
        <f t="shared" si="191"/>
        <v>3.7048105350668773E-3</v>
      </c>
      <c r="J292" s="122">
        <f t="shared" si="191"/>
        <v>3.9403190448535838E-3</v>
      </c>
      <c r="K292" s="122">
        <f t="shared" si="191"/>
        <v>4.2546550516349181E-3</v>
      </c>
      <c r="L292" s="122">
        <f t="shared" si="191"/>
        <v>4.7117429929929931E-3</v>
      </c>
      <c r="M292" s="122">
        <f t="shared" si="191"/>
        <v>5.4468889901422611E-3</v>
      </c>
      <c r="N292" s="122">
        <f t="shared" si="191"/>
        <v>6.8116040338262566E-3</v>
      </c>
    </row>
    <row r="293" spans="1:16" x14ac:dyDescent="0.25">
      <c r="A293" s="118"/>
      <c r="B293" s="130"/>
      <c r="C293" s="123"/>
      <c r="D293" s="121"/>
      <c r="E293" s="121"/>
      <c r="F293" s="121"/>
      <c r="G293" s="121"/>
      <c r="H293" s="121"/>
      <c r="I293" s="121"/>
      <c r="J293" s="121"/>
      <c r="K293" s="121"/>
      <c r="L293" s="121"/>
      <c r="M293" s="121"/>
      <c r="N293" s="121"/>
    </row>
    <row r="294" spans="1:16" x14ac:dyDescent="0.25">
      <c r="A294" t="s">
        <v>251</v>
      </c>
      <c r="B294" s="129"/>
      <c r="C294" s="15" t="s">
        <v>243</v>
      </c>
      <c r="D294" s="15" t="s">
        <v>233</v>
      </c>
      <c r="E294" s="15" t="s">
        <v>232</v>
      </c>
      <c r="F294" s="15" t="s">
        <v>234</v>
      </c>
      <c r="G294" s="15" t="s">
        <v>235</v>
      </c>
      <c r="H294" s="15" t="s">
        <v>236</v>
      </c>
      <c r="I294" s="15" t="s">
        <v>237</v>
      </c>
      <c r="J294" s="15" t="s">
        <v>238</v>
      </c>
      <c r="K294" s="15" t="s">
        <v>239</v>
      </c>
      <c r="L294" s="15" t="s">
        <v>240</v>
      </c>
      <c r="M294" s="15" t="s">
        <v>241</v>
      </c>
      <c r="N294" s="15" t="s">
        <v>242</v>
      </c>
      <c r="O294" s="121"/>
      <c r="P294" s="122"/>
    </row>
    <row r="295" spans="1:16" ht="14.4" x14ac:dyDescent="0.3">
      <c r="C295" s="123"/>
      <c r="D295" s="124">
        <f>VLOOKUP($A294,'KAVVV Records &amp; age-grading'!$A$3:$AF$28,20,FALSE)</f>
        <v>0.95855000000000001</v>
      </c>
      <c r="E295" s="124">
        <f>VLOOKUP($A294,'KAVVV Records &amp; age-grading'!$A$3:$AF$28,21,FALSE)</f>
        <v>0.92144999999999999</v>
      </c>
      <c r="F295" s="124">
        <f>VLOOKUP($A294,'KAVVV Records &amp; age-grading'!$A$3:$AF$28,22,FALSE)</f>
        <v>0.88434999999999997</v>
      </c>
      <c r="G295" s="124">
        <f>VLOOKUP($A294,'KAVVV Records &amp; age-grading'!$A$3:$AF$28,23,FALSE)</f>
        <v>0.84725000000000006</v>
      </c>
      <c r="H295" s="124">
        <f>VLOOKUP($A294,'KAVVV Records &amp; age-grading'!$A$3:$AF$28,24,FALSE)</f>
        <v>0.80994999999999995</v>
      </c>
      <c r="I295" s="124">
        <f>VLOOKUP($A294,'KAVVV Records &amp; age-grading'!$A$3:$AF$28,25,FALSE)</f>
        <v>0.77134999999999998</v>
      </c>
      <c r="J295" s="124">
        <f>VLOOKUP($A294,'KAVVV Records &amp; age-grading'!$A$3:$AF$28,26,FALSE)</f>
        <v>0.72829999999999995</v>
      </c>
      <c r="K295" s="124">
        <f>VLOOKUP($A294,'KAVVV Records &amp; age-grading'!$A$3:$AF$28,27,FALSE)</f>
        <v>0.67710000000000004</v>
      </c>
      <c r="L295" s="124">
        <f>VLOOKUP($A294,'KAVVV Records &amp; age-grading'!$A$3:$AF$28,28,FALSE)</f>
        <v>0.61335000000000006</v>
      </c>
      <c r="M295" s="124">
        <f>VLOOKUP($A294,'KAVVV Records &amp; age-grading'!$A$3:$AF$28,29,FALSE)</f>
        <v>0.53180000000000005</v>
      </c>
      <c r="N295" s="124">
        <f>VLOOKUP($A294,'KAVVV Records &amp; age-grading'!$A$3:$AF$28,30,FALSE)</f>
        <v>0.42615000000000003</v>
      </c>
      <c r="O295" s="116"/>
    </row>
    <row r="296" spans="1:16" x14ac:dyDescent="0.25">
      <c r="A296" s="118">
        <f>Puntenberekening!$I$22</f>
        <v>0.3</v>
      </c>
      <c r="B296" s="130">
        <v>6</v>
      </c>
      <c r="C296" s="126">
        <f>C301*(1+$A296)</f>
        <v>3.9045138888888888E-3</v>
      </c>
      <c r="D296" s="122">
        <f t="shared" ref="D296:N296" si="192">$C296/D295</f>
        <v>4.0733544300129241E-3</v>
      </c>
      <c r="E296" s="122">
        <f t="shared" si="192"/>
        <v>4.2373583904594808E-3</v>
      </c>
      <c r="F296" s="122">
        <f t="shared" si="192"/>
        <v>4.4151228460325535E-3</v>
      </c>
      <c r="G296" s="122">
        <f t="shared" si="192"/>
        <v>4.6084554604767054E-3</v>
      </c>
      <c r="H296" s="122">
        <f t="shared" si="192"/>
        <v>4.8206850903004987E-3</v>
      </c>
      <c r="I296" s="122">
        <f t="shared" si="192"/>
        <v>5.061922459180513E-3</v>
      </c>
      <c r="J296" s="122">
        <f t="shared" si="192"/>
        <v>5.3611339954536446E-3</v>
      </c>
      <c r="K296" s="122">
        <f t="shared" si="192"/>
        <v>5.7665247214427539E-3</v>
      </c>
      <c r="L296" s="122">
        <f t="shared" si="192"/>
        <v>6.3658822676920003E-3</v>
      </c>
      <c r="M296" s="122">
        <f t="shared" si="192"/>
        <v>7.3420719986628212E-3</v>
      </c>
      <c r="N296" s="122">
        <f t="shared" si="192"/>
        <v>9.1622993990118241E-3</v>
      </c>
      <c r="O296" s="116"/>
    </row>
    <row r="297" spans="1:16" x14ac:dyDescent="0.25">
      <c r="A297" s="118">
        <f>Puntenberekening!$I$21</f>
        <v>0.22</v>
      </c>
      <c r="B297" s="130">
        <v>7</v>
      </c>
      <c r="C297" s="126">
        <f>C301*(1+$A297)</f>
        <v>3.6642361111111107E-3</v>
      </c>
      <c r="D297" s="122">
        <f t="shared" ref="D297:N297" si="193">$C297/D295</f>
        <v>3.822686465089052E-3</v>
      </c>
      <c r="E297" s="122">
        <f t="shared" si="193"/>
        <v>3.9765978741235124E-3</v>
      </c>
      <c r="F297" s="122">
        <f t="shared" si="193"/>
        <v>4.1434229785843966E-3</v>
      </c>
      <c r="G297" s="122">
        <f t="shared" si="193"/>
        <v>4.3248582013704464E-3</v>
      </c>
      <c r="H297" s="122">
        <f t="shared" si="193"/>
        <v>4.5240275462820065E-3</v>
      </c>
      <c r="I297" s="122">
        <f t="shared" si="193"/>
        <v>4.7504195386155581E-3</v>
      </c>
      <c r="J297" s="122">
        <f t="shared" si="193"/>
        <v>5.0312180572718813E-3</v>
      </c>
      <c r="K297" s="122">
        <f t="shared" si="193"/>
        <v>5.4116616616616611E-3</v>
      </c>
      <c r="L297" s="122">
        <f t="shared" si="193"/>
        <v>5.9741356666032615E-3</v>
      </c>
      <c r="M297" s="122">
        <f t="shared" si="193"/>
        <v>6.8902521833604938E-3</v>
      </c>
      <c r="N297" s="122">
        <f t="shared" si="193"/>
        <v>8.5984655898418642E-3</v>
      </c>
      <c r="O297" s="116"/>
    </row>
    <row r="298" spans="1:16" x14ac:dyDescent="0.25">
      <c r="A298" s="118">
        <f>Puntenberekening!$I$20</f>
        <v>0.15</v>
      </c>
      <c r="B298" s="130">
        <v>8</v>
      </c>
      <c r="C298" s="126">
        <f>C301*(1+$A298)</f>
        <v>3.4539930555555552E-3</v>
      </c>
      <c r="D298" s="122">
        <f t="shared" ref="D298:N298" si="194">$C298/D295</f>
        <v>3.6033519957806635E-3</v>
      </c>
      <c r="E298" s="122">
        <f t="shared" si="194"/>
        <v>3.7484324223295406E-3</v>
      </c>
      <c r="F298" s="122">
        <f t="shared" si="194"/>
        <v>3.9056855945672586E-3</v>
      </c>
      <c r="G298" s="122">
        <f t="shared" si="194"/>
        <v>4.0767105996524699E-3</v>
      </c>
      <c r="H298" s="122">
        <f t="shared" si="194"/>
        <v>4.2644521952658254E-3</v>
      </c>
      <c r="I298" s="122">
        <f t="shared" si="194"/>
        <v>4.4778544831212226E-3</v>
      </c>
      <c r="J298" s="122">
        <f t="shared" si="194"/>
        <v>4.7425416113628391E-3</v>
      </c>
      <c r="K298" s="122">
        <f t="shared" si="194"/>
        <v>5.101156484353205E-3</v>
      </c>
      <c r="L298" s="122">
        <f t="shared" si="194"/>
        <v>5.6313573906506152E-3</v>
      </c>
      <c r="M298" s="122">
        <f t="shared" si="194"/>
        <v>6.494909844970957E-3</v>
      </c>
      <c r="N298" s="122">
        <f t="shared" si="194"/>
        <v>8.1051110068181501E-3</v>
      </c>
      <c r="O298" s="116"/>
    </row>
    <row r="299" spans="1:16" x14ac:dyDescent="0.25">
      <c r="A299" s="118">
        <f>Puntenberekening!$I$19</f>
        <v>0.09</v>
      </c>
      <c r="B299" s="130">
        <v>9</v>
      </c>
      <c r="C299" s="126">
        <f>C301*(1+$A299)</f>
        <v>3.2737847222222222E-3</v>
      </c>
      <c r="D299" s="122">
        <f t="shared" ref="D299:N299" si="195">$C299/D295</f>
        <v>3.4153510220877596E-3</v>
      </c>
      <c r="E299" s="122">
        <f t="shared" si="195"/>
        <v>3.5528620350775649E-3</v>
      </c>
      <c r="F299" s="122">
        <f t="shared" si="195"/>
        <v>3.7019106939811413E-3</v>
      </c>
      <c r="G299" s="122">
        <f t="shared" si="195"/>
        <v>3.8640126553227761E-3</v>
      </c>
      <c r="H299" s="122">
        <f t="shared" si="195"/>
        <v>4.0419590372519571E-3</v>
      </c>
      <c r="I299" s="122">
        <f t="shared" si="195"/>
        <v>4.2442272926975074E-3</v>
      </c>
      <c r="J299" s="122">
        <f t="shared" si="195"/>
        <v>4.4951046577265171E-3</v>
      </c>
      <c r="K299" s="122">
        <f t="shared" si="195"/>
        <v>4.8350091895173856E-3</v>
      </c>
      <c r="L299" s="122">
        <f t="shared" si="195"/>
        <v>5.3375474398340622E-3</v>
      </c>
      <c r="M299" s="122">
        <f t="shared" si="195"/>
        <v>6.1560449834942117E-3</v>
      </c>
      <c r="N299" s="122">
        <f t="shared" si="195"/>
        <v>7.6822356499406828E-3</v>
      </c>
      <c r="O299" s="116"/>
    </row>
    <row r="300" spans="1:16" x14ac:dyDescent="0.25">
      <c r="A300" s="118">
        <f>Puntenberekening!$I$18</f>
        <v>0.04</v>
      </c>
      <c r="B300" s="130">
        <v>10</v>
      </c>
      <c r="C300" s="126">
        <f>C301*(1+$A300)</f>
        <v>3.1236111111111109E-3</v>
      </c>
      <c r="D300" s="122">
        <f t="shared" ref="D300:N300" si="196">$C300/D295</f>
        <v>3.2586835440103394E-3</v>
      </c>
      <c r="E300" s="122">
        <f t="shared" si="196"/>
        <v>3.3898867123675846E-3</v>
      </c>
      <c r="F300" s="122">
        <f t="shared" si="196"/>
        <v>3.532098276826043E-3</v>
      </c>
      <c r="G300" s="122">
        <f t="shared" si="196"/>
        <v>3.686764368381364E-3</v>
      </c>
      <c r="H300" s="122">
        <f t="shared" si="196"/>
        <v>3.856548072240399E-3</v>
      </c>
      <c r="I300" s="122">
        <f t="shared" si="196"/>
        <v>4.0495379673444101E-3</v>
      </c>
      <c r="J300" s="122">
        <f t="shared" si="196"/>
        <v>4.2889071963629153E-3</v>
      </c>
      <c r="K300" s="122">
        <f t="shared" si="196"/>
        <v>4.613219777154203E-3</v>
      </c>
      <c r="L300" s="122">
        <f t="shared" si="196"/>
        <v>5.0927058141535999E-3</v>
      </c>
      <c r="M300" s="122">
        <f t="shared" si="196"/>
        <v>5.873657598930257E-3</v>
      </c>
      <c r="N300" s="122">
        <f t="shared" si="196"/>
        <v>7.3298395192094579E-3</v>
      </c>
      <c r="O300" s="116"/>
    </row>
    <row r="301" spans="1:16" x14ac:dyDescent="0.25">
      <c r="A301" s="118">
        <f>Puntenberekening!$I$17</f>
        <v>0</v>
      </c>
      <c r="B301" s="130">
        <v>11</v>
      </c>
      <c r="C301" s="127">
        <f>VLOOKUP(A294,'KAVVV Records &amp; age-grading'!$A$3:$C$28,3,FALSE)</f>
        <v>3.003472222222222E-3</v>
      </c>
      <c r="D301" s="122">
        <f t="shared" ref="D301:N301" si="197">$C301/D295</f>
        <v>3.1333495615484034E-3</v>
      </c>
      <c r="E301" s="122">
        <f t="shared" si="197"/>
        <v>3.2595064541996008E-3</v>
      </c>
      <c r="F301" s="122">
        <f t="shared" si="197"/>
        <v>3.3962483431019645E-3</v>
      </c>
      <c r="G301" s="122">
        <f t="shared" si="197"/>
        <v>3.5449657388282349E-3</v>
      </c>
      <c r="H301" s="122">
        <f t="shared" si="197"/>
        <v>3.7082193002311529E-3</v>
      </c>
      <c r="I301" s="122">
        <f t="shared" si="197"/>
        <v>3.893786507061933E-3</v>
      </c>
      <c r="J301" s="122">
        <f t="shared" si="197"/>
        <v>4.1239492272720337E-3</v>
      </c>
      <c r="K301" s="122">
        <f t="shared" si="197"/>
        <v>4.435788247263657E-3</v>
      </c>
      <c r="L301" s="122">
        <f t="shared" si="197"/>
        <v>4.8968325136092309E-3</v>
      </c>
      <c r="M301" s="122">
        <f t="shared" si="197"/>
        <v>5.6477476912790928E-3</v>
      </c>
      <c r="N301" s="122">
        <f t="shared" si="197"/>
        <v>7.0479226146244797E-3</v>
      </c>
    </row>
    <row r="302" spans="1:16" x14ac:dyDescent="0.25">
      <c r="A302" s="118"/>
      <c r="B302" s="130"/>
      <c r="C302" s="123"/>
      <c r="D302" s="121"/>
      <c r="E302" s="121"/>
      <c r="F302" s="121"/>
      <c r="G302" s="121"/>
      <c r="H302" s="121"/>
      <c r="I302" s="121"/>
      <c r="J302" s="121"/>
      <c r="K302" s="121"/>
      <c r="L302" s="121"/>
      <c r="M302" s="121"/>
      <c r="N302" s="121"/>
    </row>
    <row r="303" spans="1:16" x14ac:dyDescent="0.25">
      <c r="A303" t="s">
        <v>252</v>
      </c>
      <c r="B303" s="129"/>
      <c r="C303" s="15" t="s">
        <v>243</v>
      </c>
      <c r="D303" s="15" t="s">
        <v>233</v>
      </c>
      <c r="E303" s="15" t="s">
        <v>232</v>
      </c>
      <c r="F303" s="15" t="s">
        <v>234</v>
      </c>
      <c r="G303" s="15" t="s">
        <v>235</v>
      </c>
      <c r="H303" s="15" t="s">
        <v>236</v>
      </c>
      <c r="I303" s="15" t="s">
        <v>237</v>
      </c>
      <c r="J303" s="15" t="s">
        <v>238</v>
      </c>
      <c r="K303" s="15" t="s">
        <v>239</v>
      </c>
      <c r="L303" s="15" t="s">
        <v>240</v>
      </c>
      <c r="M303" s="15" t="s">
        <v>241</v>
      </c>
      <c r="N303" s="15" t="s">
        <v>242</v>
      </c>
      <c r="O303" s="121"/>
      <c r="P303" s="122"/>
    </row>
    <row r="304" spans="1:16" ht="14.4" x14ac:dyDescent="0.3">
      <c r="C304" s="123"/>
      <c r="D304" s="124">
        <f>VLOOKUP($A303,'KAVVV Records &amp; age-grading'!$A$3:$AF$28,20,FALSE)</f>
        <v>0.96187500000000004</v>
      </c>
      <c r="E304" s="124">
        <f>VLOOKUP($A303,'KAVVV Records &amp; age-grading'!$A$3:$AF$28,21,FALSE)</f>
        <v>0.925925</v>
      </c>
      <c r="F304" s="124">
        <f>VLOOKUP($A303,'KAVVV Records &amp; age-grading'!$A$3:$AF$28,22,FALSE)</f>
        <v>0.88997499999999996</v>
      </c>
      <c r="G304" s="124">
        <f>VLOOKUP($A303,'KAVVV Records &amp; age-grading'!$A$3:$AF$28,23,FALSE)</f>
        <v>0.85402500000000003</v>
      </c>
      <c r="H304" s="124">
        <f>VLOOKUP($A303,'KAVVV Records &amp; age-grading'!$A$3:$AF$28,24,FALSE)</f>
        <v>0.8179749999999999</v>
      </c>
      <c r="I304" s="124">
        <f>VLOOKUP($A303,'KAVVV Records &amp; age-grading'!$A$3:$AF$28,25,FALSE)</f>
        <v>0.78057500000000002</v>
      </c>
      <c r="J304" s="124">
        <f>VLOOKUP($A303,'KAVVV Records &amp; age-grading'!$A$3:$AF$28,26,FALSE)</f>
        <v>0.73849999999999993</v>
      </c>
      <c r="K304" s="124">
        <f>VLOOKUP($A303,'KAVVV Records &amp; age-grading'!$A$3:$AF$28,27,FALSE)</f>
        <v>0.68785000000000007</v>
      </c>
      <c r="L304" s="124">
        <f>VLOOKUP($A303,'KAVVV Records &amp; age-grading'!$A$3:$AF$28,28,FALSE)</f>
        <v>0.62402500000000005</v>
      </c>
      <c r="M304" s="124">
        <f>VLOOKUP($A303,'KAVVV Records &amp; age-grading'!$A$3:$AF$28,29,FALSE)</f>
        <v>0.54164999999999996</v>
      </c>
      <c r="N304" s="124">
        <f>VLOOKUP($A303,'KAVVV Records &amp; age-grading'!$A$3:$AF$28,30,FALSE)</f>
        <v>0.43447500000000006</v>
      </c>
      <c r="O304" s="116"/>
    </row>
    <row r="305" spans="1:16" x14ac:dyDescent="0.25">
      <c r="A305" s="118">
        <f>Puntenberekening!$I$22</f>
        <v>0.3</v>
      </c>
      <c r="B305" s="130">
        <v>6</v>
      </c>
      <c r="C305" s="126">
        <f>C310*(1+$A305)</f>
        <v>4.9216435185185188E-3</v>
      </c>
      <c r="D305" s="122">
        <f t="shared" ref="D305:N305" si="198">$C305/D304</f>
        <v>5.1167184078165237E-3</v>
      </c>
      <c r="E305" s="122">
        <f t="shared" si="198"/>
        <v>5.3153803153803154E-3</v>
      </c>
      <c r="F305" s="122">
        <f t="shared" si="198"/>
        <v>5.5300918773207326E-3</v>
      </c>
      <c r="G305" s="122">
        <f t="shared" si="198"/>
        <v>5.7628799139586295E-3</v>
      </c>
      <c r="H305" s="122">
        <f t="shared" si="198"/>
        <v>6.0168630074495175E-3</v>
      </c>
      <c r="I305" s="122">
        <f t="shared" si="198"/>
        <v>6.3051513544739694E-3</v>
      </c>
      <c r="J305" s="122">
        <f t="shared" si="198"/>
        <v>6.6643784949472163E-3</v>
      </c>
      <c r="K305" s="122">
        <f t="shared" si="198"/>
        <v>7.1551116064818175E-3</v>
      </c>
      <c r="L305" s="122">
        <f t="shared" si="198"/>
        <v>7.8869332454925972E-3</v>
      </c>
      <c r="M305" s="122">
        <f t="shared" si="198"/>
        <v>9.0863906923631856E-3</v>
      </c>
      <c r="N305" s="122">
        <f t="shared" si="198"/>
        <v>1.132779450720644E-2</v>
      </c>
      <c r="O305" s="116"/>
    </row>
    <row r="306" spans="1:16" x14ac:dyDescent="0.25">
      <c r="A306" s="118">
        <f>Puntenberekening!$I$21</f>
        <v>0.22</v>
      </c>
      <c r="B306" s="130">
        <v>7</v>
      </c>
      <c r="C306" s="126">
        <f>C310*(1+$A306)</f>
        <v>4.6187731481481488E-3</v>
      </c>
      <c r="D306" s="122">
        <f t="shared" ref="D306:N306" si="199">$C306/D304</f>
        <v>4.8018434288739685E-3</v>
      </c>
      <c r="E306" s="122">
        <f t="shared" si="199"/>
        <v>4.9882799882799891E-3</v>
      </c>
      <c r="F306" s="122">
        <f t="shared" si="199"/>
        <v>5.1897785310240727E-3</v>
      </c>
      <c r="G306" s="122">
        <f t="shared" si="199"/>
        <v>5.4082411500227141E-3</v>
      </c>
      <c r="H306" s="122">
        <f t="shared" si="199"/>
        <v>5.6465945146833944E-3</v>
      </c>
      <c r="I306" s="122">
        <f t="shared" si="199"/>
        <v>5.917142040352495E-3</v>
      </c>
      <c r="J306" s="122">
        <f t="shared" si="199"/>
        <v>6.2542628952581576E-3</v>
      </c>
      <c r="K306" s="122">
        <f t="shared" si="199"/>
        <v>6.7147970460829367E-3</v>
      </c>
      <c r="L306" s="122">
        <f t="shared" si="199"/>
        <v>7.401583507308439E-3</v>
      </c>
      <c r="M306" s="122">
        <f t="shared" si="199"/>
        <v>8.5272281882177586E-3</v>
      </c>
      <c r="N306" s="122">
        <f t="shared" si="199"/>
        <v>1.0630699460609122E-2</v>
      </c>
      <c r="O306" s="116"/>
    </row>
    <row r="307" spans="1:16" x14ac:dyDescent="0.25">
      <c r="A307" s="118">
        <f>Puntenberekening!$I$20</f>
        <v>0.15</v>
      </c>
      <c r="B307" s="130">
        <v>8</v>
      </c>
      <c r="C307" s="126">
        <f>C310*(1+$A307)</f>
        <v>4.3537615740740741E-3</v>
      </c>
      <c r="D307" s="122">
        <f t="shared" ref="D307:N307" si="200">$C307/D304</f>
        <v>4.5263278222992323E-3</v>
      </c>
      <c r="E307" s="122">
        <f t="shared" si="200"/>
        <v>4.7020672020672023E-3</v>
      </c>
      <c r="F307" s="122">
        <f t="shared" si="200"/>
        <v>4.8920043530144936E-3</v>
      </c>
      <c r="G307" s="122">
        <f t="shared" si="200"/>
        <v>5.0979322315787877E-3</v>
      </c>
      <c r="H307" s="122">
        <f t="shared" si="200"/>
        <v>5.3226095835130346E-3</v>
      </c>
      <c r="I307" s="122">
        <f t="shared" si="200"/>
        <v>5.5776338904962031E-3</v>
      </c>
      <c r="J307" s="122">
        <f t="shared" si="200"/>
        <v>5.8954117455302293E-3</v>
      </c>
      <c r="K307" s="122">
        <f t="shared" si="200"/>
        <v>6.3295218057339156E-3</v>
      </c>
      <c r="L307" s="122">
        <f t="shared" si="200"/>
        <v>6.9769024863972975E-3</v>
      </c>
      <c r="M307" s="122">
        <f t="shared" si="200"/>
        <v>8.0379609970905094E-3</v>
      </c>
      <c r="N307" s="122">
        <f t="shared" si="200"/>
        <v>1.0020741294836466E-2</v>
      </c>
      <c r="O307" s="116"/>
    </row>
    <row r="308" spans="1:16" x14ac:dyDescent="0.25">
      <c r="A308" s="118">
        <f>Puntenberekening!$I$19</f>
        <v>0.09</v>
      </c>
      <c r="B308" s="130">
        <v>9</v>
      </c>
      <c r="C308" s="126">
        <f>C310*(1+$A308)</f>
        <v>4.1266087962962966E-3</v>
      </c>
      <c r="D308" s="122">
        <f t="shared" ref="D308:N308" si="201">$C308/D304</f>
        <v>4.2901715880923159E-3</v>
      </c>
      <c r="E308" s="122">
        <f t="shared" si="201"/>
        <v>4.4567419567419575E-3</v>
      </c>
      <c r="F308" s="122">
        <f t="shared" si="201"/>
        <v>4.6367693432919988E-3</v>
      </c>
      <c r="G308" s="122">
        <f t="shared" si="201"/>
        <v>4.8319531586268512E-3</v>
      </c>
      <c r="H308" s="122">
        <f t="shared" si="201"/>
        <v>5.0449082139384423E-3</v>
      </c>
      <c r="I308" s="122">
        <f t="shared" si="201"/>
        <v>5.2866269049050979E-3</v>
      </c>
      <c r="J308" s="122">
        <f t="shared" si="201"/>
        <v>5.587825045763435E-3</v>
      </c>
      <c r="K308" s="122">
        <f t="shared" si="201"/>
        <v>5.9992858854347551E-3</v>
      </c>
      <c r="L308" s="122">
        <f t="shared" si="201"/>
        <v>6.6128901827591782E-3</v>
      </c>
      <c r="M308" s="122">
        <f t="shared" si="201"/>
        <v>7.6185891189814395E-3</v>
      </c>
      <c r="N308" s="122">
        <f t="shared" si="201"/>
        <v>9.4979200098884772E-3</v>
      </c>
      <c r="O308" s="116"/>
    </row>
    <row r="309" spans="1:16" x14ac:dyDescent="0.25">
      <c r="A309" s="118">
        <f>Puntenberekening!$I$18</f>
        <v>0.04</v>
      </c>
      <c r="B309" s="130">
        <v>10</v>
      </c>
      <c r="C309" s="126">
        <f>C310*(1+$A309)</f>
        <v>3.9373148148148154E-3</v>
      </c>
      <c r="D309" s="122">
        <f t="shared" ref="D309:N309" si="202">$C309/D304</f>
        <v>4.0933747262532193E-3</v>
      </c>
      <c r="E309" s="122">
        <f t="shared" si="202"/>
        <v>4.2523042523042532E-3</v>
      </c>
      <c r="F309" s="122">
        <f t="shared" si="202"/>
        <v>4.4240735018565864E-3</v>
      </c>
      <c r="G309" s="122">
        <f t="shared" si="202"/>
        <v>4.6103039311669036E-3</v>
      </c>
      <c r="H309" s="122">
        <f t="shared" si="202"/>
        <v>4.813490405959615E-3</v>
      </c>
      <c r="I309" s="122">
        <f t="shared" si="202"/>
        <v>5.0441210835791761E-3</v>
      </c>
      <c r="J309" s="122">
        <f t="shared" si="202"/>
        <v>5.3315027959577738E-3</v>
      </c>
      <c r="K309" s="122">
        <f t="shared" si="202"/>
        <v>5.724089285185455E-3</v>
      </c>
      <c r="L309" s="122">
        <f t="shared" si="202"/>
        <v>6.3095465963940792E-3</v>
      </c>
      <c r="M309" s="122">
        <f t="shared" si="202"/>
        <v>7.2691125538905483E-3</v>
      </c>
      <c r="N309" s="122">
        <f t="shared" si="202"/>
        <v>9.0622356057651534E-3</v>
      </c>
      <c r="O309" s="116"/>
    </row>
    <row r="310" spans="1:16" x14ac:dyDescent="0.25">
      <c r="A310" s="118">
        <f>Puntenberekening!$I$17</f>
        <v>0</v>
      </c>
      <c r="B310" s="130">
        <v>11</v>
      </c>
      <c r="C310" s="127">
        <f>VLOOKUP(A303,'KAVVV Records &amp; age-grading'!$A$3:$C$28,3,FALSE)</f>
        <v>3.7858796296296299E-3</v>
      </c>
      <c r="D310" s="122">
        <f t="shared" ref="D310:N310" si="203">$C310/D304</f>
        <v>3.9359372367819409E-3</v>
      </c>
      <c r="E310" s="122">
        <f t="shared" si="203"/>
        <v>4.0887540887540891E-3</v>
      </c>
      <c r="F310" s="122">
        <f t="shared" si="203"/>
        <v>4.2539168287082556E-3</v>
      </c>
      <c r="G310" s="122">
        <f t="shared" si="203"/>
        <v>4.4329845491989459E-3</v>
      </c>
      <c r="H310" s="122">
        <f t="shared" si="203"/>
        <v>4.6283561595765526E-3</v>
      </c>
      <c r="I310" s="122">
        <f t="shared" si="203"/>
        <v>4.8501164265184384E-3</v>
      </c>
      <c r="J310" s="122">
        <f t="shared" si="203"/>
        <v>5.1264449961132431E-3</v>
      </c>
      <c r="K310" s="122">
        <f t="shared" si="203"/>
        <v>5.5039320049860138E-3</v>
      </c>
      <c r="L310" s="122">
        <f t="shared" si="203"/>
        <v>6.0668717273019987E-3</v>
      </c>
      <c r="M310" s="122">
        <f t="shared" si="203"/>
        <v>6.9895313018178348E-3</v>
      </c>
      <c r="N310" s="122">
        <f t="shared" si="203"/>
        <v>8.7136880824664927E-3</v>
      </c>
    </row>
    <row r="311" spans="1:16" x14ac:dyDescent="0.25">
      <c r="A311" s="118"/>
      <c r="B311" s="130"/>
      <c r="C311" s="123"/>
      <c r="D311" s="121"/>
      <c r="E311" s="121"/>
      <c r="F311" s="121"/>
      <c r="G311" s="121"/>
      <c r="H311" s="121"/>
      <c r="I311" s="121"/>
      <c r="J311" s="121"/>
      <c r="K311" s="121"/>
      <c r="L311" s="121"/>
      <c r="M311" s="121"/>
      <c r="N311" s="121"/>
    </row>
    <row r="312" spans="1:16" x14ac:dyDescent="0.25">
      <c r="A312" t="s">
        <v>253</v>
      </c>
      <c r="B312" s="129"/>
      <c r="C312" s="15" t="s">
        <v>243</v>
      </c>
      <c r="D312" s="15" t="s">
        <v>233</v>
      </c>
      <c r="E312" s="15" t="s">
        <v>232</v>
      </c>
      <c r="F312" s="15" t="s">
        <v>234</v>
      </c>
      <c r="G312" s="15" t="s">
        <v>235</v>
      </c>
      <c r="H312" s="15" t="s">
        <v>236</v>
      </c>
      <c r="I312" s="15" t="s">
        <v>237</v>
      </c>
      <c r="J312" s="15" t="s">
        <v>238</v>
      </c>
      <c r="K312" s="15" t="s">
        <v>239</v>
      </c>
      <c r="L312" s="15" t="s">
        <v>240</v>
      </c>
      <c r="M312" s="15" t="s">
        <v>241</v>
      </c>
      <c r="N312" s="15" t="s">
        <v>242</v>
      </c>
      <c r="O312" s="121"/>
      <c r="P312" s="122"/>
    </row>
    <row r="313" spans="1:16" ht="14.4" x14ac:dyDescent="0.3">
      <c r="C313" s="123"/>
      <c r="D313" s="124">
        <f>VLOOKUP($A312,'KAVVV Records &amp; age-grading'!$A$3:$AF$28,20,FALSE)</f>
        <v>0.96519999999999995</v>
      </c>
      <c r="E313" s="124">
        <f>VLOOKUP($A312,'KAVVV Records &amp; age-grading'!$A$3:$AF$28,21,FALSE)</f>
        <v>0.9304</v>
      </c>
      <c r="F313" s="124">
        <f>VLOOKUP($A312,'KAVVV Records &amp; age-grading'!$A$3:$AF$28,22,FALSE)</f>
        <v>0.89559999999999995</v>
      </c>
      <c r="G313" s="124">
        <f>VLOOKUP($A312,'KAVVV Records &amp; age-grading'!$A$3:$AF$28,23,FALSE)</f>
        <v>0.86080000000000001</v>
      </c>
      <c r="H313" s="124">
        <f>VLOOKUP($A312,'KAVVV Records &amp; age-grading'!$A$3:$AF$28,24,FALSE)</f>
        <v>0.82599999999999996</v>
      </c>
      <c r="I313" s="124">
        <f>VLOOKUP($A312,'KAVVV Records &amp; age-grading'!$A$3:$AF$28,25,FALSE)</f>
        <v>0.78979999999999995</v>
      </c>
      <c r="J313" s="124">
        <f>VLOOKUP($A312,'KAVVV Records &amp; age-grading'!$A$3:$AF$28,26,FALSE)</f>
        <v>0.74870000000000003</v>
      </c>
      <c r="K313" s="124">
        <f>VLOOKUP($A312,'KAVVV Records &amp; age-grading'!$A$3:$AF$28,27,FALSE)</f>
        <v>0.6986</v>
      </c>
      <c r="L313" s="124">
        <f>VLOOKUP($A312,'KAVVV Records &amp; age-grading'!$A$3:$AF$28,28,FALSE)</f>
        <v>0.63470000000000004</v>
      </c>
      <c r="M313" s="124">
        <f>VLOOKUP($A312,'KAVVV Records &amp; age-grading'!$A$3:$AF$28,29,FALSE)</f>
        <v>0.55149999999999999</v>
      </c>
      <c r="N313" s="124">
        <f>VLOOKUP($A312,'KAVVV Records &amp; age-grading'!$A$3:$AF$28,30,FALSE)</f>
        <v>0.44280000000000003</v>
      </c>
      <c r="O313" s="116"/>
    </row>
    <row r="314" spans="1:16" x14ac:dyDescent="0.25">
      <c r="A314" s="118">
        <f>Puntenberekening!$I$22</f>
        <v>0.3</v>
      </c>
      <c r="B314" s="130">
        <v>6</v>
      </c>
      <c r="C314" s="126">
        <f>C319*(1+$A314)</f>
        <v>7.4990740740740755E-3</v>
      </c>
      <c r="D314" s="122">
        <f t="shared" ref="D314:N314" si="204">$C314/D313</f>
        <v>7.7694509677518403E-3</v>
      </c>
      <c r="E314" s="122">
        <f t="shared" si="204"/>
        <v>8.0600538199420424E-3</v>
      </c>
      <c r="F314" s="122">
        <f t="shared" si="204"/>
        <v>8.3732403685507772E-3</v>
      </c>
      <c r="G314" s="122">
        <f t="shared" si="204"/>
        <v>8.7117496213685829E-3</v>
      </c>
      <c r="H314" s="122">
        <f t="shared" si="204"/>
        <v>9.0787821720025134E-3</v>
      </c>
      <c r="I314" s="122">
        <f t="shared" si="204"/>
        <v>9.4949026007521854E-3</v>
      </c>
      <c r="J314" s="122">
        <f t="shared" si="204"/>
        <v>1.0016126718410678E-2</v>
      </c>
      <c r="K314" s="122">
        <f t="shared" si="204"/>
        <v>1.0734431826616198E-2</v>
      </c>
      <c r="L314" s="122">
        <f t="shared" si="204"/>
        <v>1.1815147430398732E-2</v>
      </c>
      <c r="M314" s="122">
        <f t="shared" si="204"/>
        <v>1.3597595782545921E-2</v>
      </c>
      <c r="N314" s="122">
        <f t="shared" si="204"/>
        <v>1.6935578306400349E-2</v>
      </c>
      <c r="O314" s="116"/>
    </row>
    <row r="315" spans="1:16" x14ac:dyDescent="0.25">
      <c r="A315" s="118">
        <f>Puntenberekening!$I$21</f>
        <v>0.22</v>
      </c>
      <c r="B315" s="130">
        <v>7</v>
      </c>
      <c r="C315" s="126">
        <f>C319*(1+$A315)</f>
        <v>7.0375925925925936E-3</v>
      </c>
      <c r="D315" s="122">
        <f t="shared" ref="D315:N315" si="205">$C315/D313</f>
        <v>7.2913309081978801E-3</v>
      </c>
      <c r="E315" s="122">
        <f t="shared" si="205"/>
        <v>7.5640505079456076E-3</v>
      </c>
      <c r="F315" s="122">
        <f t="shared" si="205"/>
        <v>7.8579640381784208E-3</v>
      </c>
      <c r="G315" s="122">
        <f t="shared" si="205"/>
        <v>8.1756419523612844E-3</v>
      </c>
      <c r="H315" s="122">
        <f t="shared" si="205"/>
        <v>8.5200878844946659E-3</v>
      </c>
      <c r="I315" s="122">
        <f t="shared" si="205"/>
        <v>8.9106009022443585E-3</v>
      </c>
      <c r="J315" s="122">
        <f t="shared" si="205"/>
        <v>9.399749689585405E-3</v>
      </c>
      <c r="K315" s="122">
        <f t="shared" si="205"/>
        <v>1.0073851406516739E-2</v>
      </c>
      <c r="L315" s="122">
        <f t="shared" si="205"/>
        <v>1.1088061434681886E-2</v>
      </c>
      <c r="M315" s="122">
        <f t="shared" si="205"/>
        <v>1.2760820657466171E-2</v>
      </c>
      <c r="N315" s="122">
        <f t="shared" si="205"/>
        <v>1.5893388872160328E-2</v>
      </c>
      <c r="O315" s="116"/>
    </row>
    <row r="316" spans="1:16" x14ac:dyDescent="0.25">
      <c r="A316" s="118">
        <f>Puntenberekening!$I$20</f>
        <v>0.15</v>
      </c>
      <c r="B316" s="130">
        <v>8</v>
      </c>
      <c r="C316" s="126">
        <f>C319*(1+$A316)</f>
        <v>6.6337962962962965E-3</v>
      </c>
      <c r="D316" s="122">
        <f t="shared" ref="D316:N316" si="206">$C316/D313</f>
        <v>6.8729758560881647E-3</v>
      </c>
      <c r="E316" s="122">
        <f t="shared" si="206"/>
        <v>7.1300476099487283E-3</v>
      </c>
      <c r="F316" s="122">
        <f t="shared" si="206"/>
        <v>7.4070972491026088E-3</v>
      </c>
      <c r="G316" s="122">
        <f t="shared" si="206"/>
        <v>7.7065477419798979E-3</v>
      </c>
      <c r="H316" s="122">
        <f t="shared" si="206"/>
        <v>8.0312303829252994E-3</v>
      </c>
      <c r="I316" s="122">
        <f t="shared" si="206"/>
        <v>8.3993369160500087E-3</v>
      </c>
      <c r="J316" s="122">
        <f t="shared" si="206"/>
        <v>8.8604197893632913E-3</v>
      </c>
      <c r="K316" s="122">
        <f t="shared" si="206"/>
        <v>9.495843538929712E-3</v>
      </c>
      <c r="L316" s="122">
        <f t="shared" si="206"/>
        <v>1.0451861188429645E-2</v>
      </c>
      <c r="M316" s="122">
        <f t="shared" si="206"/>
        <v>1.202864242302139E-2</v>
      </c>
      <c r="N316" s="122">
        <f t="shared" si="206"/>
        <v>1.4981473117200307E-2</v>
      </c>
      <c r="O316" s="116"/>
    </row>
    <row r="317" spans="1:16" x14ac:dyDescent="0.25">
      <c r="A317" s="118">
        <f>Puntenberekening!$I$19</f>
        <v>0.09</v>
      </c>
      <c r="B317" s="130">
        <v>9</v>
      </c>
      <c r="C317" s="126">
        <f>C319*(1+$A317)</f>
        <v>6.2876851851851861E-3</v>
      </c>
      <c r="D317" s="122">
        <f t="shared" ref="D317:N317" si="207">$C317/D313</f>
        <v>6.5143858114226965E-3</v>
      </c>
      <c r="E317" s="122">
        <f t="shared" si="207"/>
        <v>6.7580451259514037E-3</v>
      </c>
      <c r="F317" s="122">
        <f t="shared" si="207"/>
        <v>7.0206400013233432E-3</v>
      </c>
      <c r="G317" s="122">
        <f t="shared" si="207"/>
        <v>7.3044669902244258E-3</v>
      </c>
      <c r="H317" s="122">
        <f t="shared" si="207"/>
        <v>7.6122096672944142E-3</v>
      </c>
      <c r="I317" s="122">
        <f t="shared" si="207"/>
        <v>7.9611106421691395E-3</v>
      </c>
      <c r="J317" s="122">
        <f t="shared" si="207"/>
        <v>8.3981370177443372E-3</v>
      </c>
      <c r="K317" s="122">
        <f t="shared" si="207"/>
        <v>9.0004082238551181E-3</v>
      </c>
      <c r="L317" s="122">
        <f t="shared" si="207"/>
        <v>9.9065466916420132E-3</v>
      </c>
      <c r="M317" s="122">
        <f t="shared" si="207"/>
        <v>1.1401061079211581E-2</v>
      </c>
      <c r="N317" s="122">
        <f t="shared" si="207"/>
        <v>1.4199831041520294E-2</v>
      </c>
      <c r="O317" s="116"/>
    </row>
    <row r="318" spans="1:16" x14ac:dyDescent="0.25">
      <c r="A318" s="118">
        <f>Puntenberekening!$I$18</f>
        <v>0.04</v>
      </c>
      <c r="B318" s="130">
        <v>10</v>
      </c>
      <c r="C318" s="126">
        <f>C319*(1+$A318)</f>
        <v>5.9992592592592597E-3</v>
      </c>
      <c r="D318" s="122">
        <f t="shared" ref="D318:N318" si="208">$C318/D313</f>
        <v>6.2155607742014713E-3</v>
      </c>
      <c r="E318" s="122">
        <f t="shared" si="208"/>
        <v>6.4480430559536329E-3</v>
      </c>
      <c r="F318" s="122">
        <f t="shared" si="208"/>
        <v>6.6985922948406213E-3</v>
      </c>
      <c r="G318" s="122">
        <f t="shared" si="208"/>
        <v>6.9693996970948647E-3</v>
      </c>
      <c r="H318" s="122">
        <f t="shared" si="208"/>
        <v>7.2630257376020101E-3</v>
      </c>
      <c r="I318" s="122">
        <f t="shared" si="208"/>
        <v>7.5959220806017472E-3</v>
      </c>
      <c r="J318" s="122">
        <f t="shared" si="208"/>
        <v>8.0129013747285427E-3</v>
      </c>
      <c r="K318" s="122">
        <f t="shared" si="208"/>
        <v>8.5875454612929572E-3</v>
      </c>
      <c r="L318" s="122">
        <f t="shared" si="208"/>
        <v>9.4521179443189836E-3</v>
      </c>
      <c r="M318" s="122">
        <f t="shared" si="208"/>
        <v>1.0878076626036737E-2</v>
      </c>
      <c r="N318" s="122">
        <f t="shared" si="208"/>
        <v>1.3548462645120279E-2</v>
      </c>
      <c r="O318" s="116"/>
    </row>
    <row r="319" spans="1:16" x14ac:dyDescent="0.25">
      <c r="A319" s="118">
        <f>Puntenberekening!$I$17</f>
        <v>0</v>
      </c>
      <c r="B319" s="130">
        <v>11</v>
      </c>
      <c r="C319" s="127">
        <f>VLOOKUP(A312,'KAVVV Records &amp; age-grading'!$A$3:$C$28,3,FALSE)</f>
        <v>5.7685185185185192E-3</v>
      </c>
      <c r="D319" s="122">
        <f t="shared" ref="D319:N319" si="209">$C319/D313</f>
        <v>5.9765007444244917E-3</v>
      </c>
      <c r="E319" s="122">
        <f t="shared" si="209"/>
        <v>6.2000413999554159E-3</v>
      </c>
      <c r="F319" s="122">
        <f t="shared" si="209"/>
        <v>6.440954129654443E-3</v>
      </c>
      <c r="G319" s="122">
        <f t="shared" si="209"/>
        <v>6.7013458625912164E-3</v>
      </c>
      <c r="H319" s="122">
        <f t="shared" si="209"/>
        <v>6.9836785938480863E-3</v>
      </c>
      <c r="I319" s="122">
        <f t="shared" si="209"/>
        <v>7.3037712313478347E-3</v>
      </c>
      <c r="J319" s="122">
        <f t="shared" si="209"/>
        <v>7.704712860315906E-3</v>
      </c>
      <c r="K319" s="122">
        <f t="shared" si="209"/>
        <v>8.2572552512432274E-3</v>
      </c>
      <c r="L319" s="122">
        <f t="shared" si="209"/>
        <v>9.088574946460563E-3</v>
      </c>
      <c r="M319" s="122">
        <f t="shared" si="209"/>
        <v>1.0459689063496862E-2</v>
      </c>
      <c r="N319" s="122">
        <f t="shared" si="209"/>
        <v>1.3027367928000268E-2</v>
      </c>
    </row>
    <row r="320" spans="1:16" x14ac:dyDescent="0.25">
      <c r="A320" s="118"/>
      <c r="B320" s="130"/>
      <c r="C320" s="123"/>
      <c r="D320" s="121"/>
      <c r="E320" s="121"/>
      <c r="F320" s="121"/>
      <c r="G320" s="121"/>
      <c r="H320" s="121"/>
      <c r="I320" s="121"/>
      <c r="J320" s="121"/>
      <c r="K320" s="121"/>
      <c r="L320" s="121"/>
      <c r="M320" s="121"/>
      <c r="N320" s="121"/>
    </row>
    <row r="321" spans="1:16" x14ac:dyDescent="0.25">
      <c r="A321" t="s">
        <v>284</v>
      </c>
      <c r="B321" s="129"/>
      <c r="C321" s="15" t="s">
        <v>243</v>
      </c>
      <c r="D321" s="15" t="s">
        <v>233</v>
      </c>
      <c r="E321" s="15" t="s">
        <v>232</v>
      </c>
      <c r="F321" s="15" t="s">
        <v>234</v>
      </c>
      <c r="G321" s="15" t="s">
        <v>235</v>
      </c>
      <c r="H321" s="15" t="s">
        <v>236</v>
      </c>
      <c r="I321" s="15" t="s">
        <v>237</v>
      </c>
      <c r="J321" s="15" t="s">
        <v>238</v>
      </c>
      <c r="K321" s="15" t="s">
        <v>239</v>
      </c>
      <c r="L321" s="15" t="s">
        <v>240</v>
      </c>
      <c r="M321" s="15" t="s">
        <v>241</v>
      </c>
      <c r="N321" s="15" t="s">
        <v>242</v>
      </c>
      <c r="O321" s="121"/>
      <c r="P321" s="122"/>
    </row>
    <row r="322" spans="1:16" ht="14.4" x14ac:dyDescent="0.3">
      <c r="C322" s="123"/>
      <c r="D322" s="124">
        <f>VLOOKUP($A321,'KAVVV Records &amp; age-grading'!$A$3:$AF$28,20,FALSE)</f>
        <v>0.96514999999999995</v>
      </c>
      <c r="E322" s="124">
        <f>VLOOKUP($A321,'KAVVV Records &amp; age-grading'!$A$3:$AF$28,21,FALSE)</f>
        <v>0.93030000000000002</v>
      </c>
      <c r="F322" s="124">
        <f>VLOOKUP($A321,'KAVVV Records &amp; age-grading'!$A$3:$AF$28,22,FALSE)</f>
        <v>0.89544999999999997</v>
      </c>
      <c r="G322" s="124">
        <f>VLOOKUP($A321,'KAVVV Records &amp; age-grading'!$A$3:$AF$28,23,FALSE)</f>
        <v>0.86060000000000003</v>
      </c>
      <c r="H322" s="124">
        <f>VLOOKUP($A321,'KAVVV Records &amp; age-grading'!$A$3:$AF$28,24,FALSE)</f>
        <v>0.82574999999999998</v>
      </c>
      <c r="I322" s="124">
        <f>VLOOKUP($A321,'KAVVV Records &amp; age-grading'!$A$3:$AF$28,25,FALSE)</f>
        <v>0.78949999999999998</v>
      </c>
      <c r="J322" s="124">
        <f>VLOOKUP($A321,'KAVVV Records &amp; age-grading'!$A$3:$AF$28,26,FALSE)</f>
        <v>0.74835000000000007</v>
      </c>
      <c r="K322" s="124">
        <f>VLOOKUP($A321,'KAVVV Records &amp; age-grading'!$A$3:$AF$28,27,FALSE)</f>
        <v>0.69819999999999993</v>
      </c>
      <c r="L322" s="124">
        <f>VLOOKUP($A321,'KAVVV Records &amp; age-grading'!$A$3:$AF$28,28,FALSE)</f>
        <v>0.63424999999999998</v>
      </c>
      <c r="M322" s="124">
        <f>VLOOKUP($A321,'KAVVV Records &amp; age-grading'!$A$3:$AF$28,29,FALSE)</f>
        <v>0.55099999999999993</v>
      </c>
      <c r="N322" s="124">
        <f>VLOOKUP($A321,'KAVVV Records &amp; age-grading'!$A$3:$AF$28,30,FALSE)</f>
        <v>0.44225000000000003</v>
      </c>
      <c r="O322" s="116"/>
    </row>
    <row r="323" spans="1:16" x14ac:dyDescent="0.25">
      <c r="A323" s="118">
        <f>Puntenberekening!$I$22</f>
        <v>0.3</v>
      </c>
      <c r="B323" s="130">
        <v>6</v>
      </c>
      <c r="C323" s="126">
        <f>C328*(1+$A323)</f>
        <v>8.7035300925925926E-3</v>
      </c>
      <c r="D323" s="122">
        <f t="shared" ref="D323:N323" si="210">$C323/D322</f>
        <v>9.0178004378517248E-3</v>
      </c>
      <c r="E323" s="122">
        <f t="shared" si="210"/>
        <v>9.3556165673359046E-3</v>
      </c>
      <c r="F323" s="122">
        <f t="shared" si="210"/>
        <v>9.7197276147105837E-3</v>
      </c>
      <c r="G323" s="122">
        <f t="shared" si="210"/>
        <v>1.0113328018350676E-2</v>
      </c>
      <c r="H323" s="122">
        <f t="shared" si="210"/>
        <v>1.0540151489667082E-2</v>
      </c>
      <c r="I323" s="122">
        <f t="shared" si="210"/>
        <v>1.1024103980484602E-2</v>
      </c>
      <c r="J323" s="122">
        <f t="shared" si="210"/>
        <v>1.1630293435681956E-2</v>
      </c>
      <c r="K323" s="122">
        <f t="shared" si="210"/>
        <v>1.2465668995406179E-2</v>
      </c>
      <c r="L323" s="122">
        <f t="shared" si="210"/>
        <v>1.3722554343859035E-2</v>
      </c>
      <c r="M323" s="122">
        <f t="shared" si="210"/>
        <v>1.5795880385830477E-2</v>
      </c>
      <c r="N323" s="122">
        <f t="shared" si="210"/>
        <v>1.9680113267592069E-2</v>
      </c>
      <c r="O323" s="116"/>
    </row>
    <row r="324" spans="1:16" x14ac:dyDescent="0.25">
      <c r="A324" s="118">
        <f>Puntenberekening!$I$21</f>
        <v>0.22</v>
      </c>
      <c r="B324" s="130">
        <v>7</v>
      </c>
      <c r="C324" s="126">
        <f>C328*(1+$A324)</f>
        <v>8.1679282407407395E-3</v>
      </c>
      <c r="D324" s="122">
        <f t="shared" ref="D324:N324" si="211">$C324/D322</f>
        <v>8.462858872445465E-3</v>
      </c>
      <c r="E324" s="122">
        <f t="shared" si="211"/>
        <v>8.7798863170383094E-3</v>
      </c>
      <c r="F324" s="122">
        <f t="shared" si="211"/>
        <v>9.1215905307283941E-3</v>
      </c>
      <c r="G324" s="122">
        <f t="shared" si="211"/>
        <v>9.490969371067557E-3</v>
      </c>
      <c r="H324" s="122">
        <f t="shared" si="211"/>
        <v>9.8915267826106441E-3</v>
      </c>
      <c r="I324" s="122">
        <f t="shared" si="211"/>
        <v>1.0345697581685548E-2</v>
      </c>
      <c r="J324" s="122">
        <f t="shared" si="211"/>
        <v>1.0914583070409219E-2</v>
      </c>
      <c r="K324" s="122">
        <f t="shared" si="211"/>
        <v>1.1698550903381181E-2</v>
      </c>
      <c r="L324" s="122">
        <f t="shared" si="211"/>
        <v>1.2878089461160015E-2</v>
      </c>
      <c r="M324" s="122">
        <f t="shared" si="211"/>
        <v>1.4823826208240909E-2</v>
      </c>
      <c r="N324" s="122">
        <f t="shared" si="211"/>
        <v>1.8469029374201786E-2</v>
      </c>
      <c r="O324" s="116"/>
    </row>
    <row r="325" spans="1:16" x14ac:dyDescent="0.25">
      <c r="A325" s="118">
        <f>Puntenberekening!$I$20</f>
        <v>0.15</v>
      </c>
      <c r="B325" s="130">
        <v>8</v>
      </c>
      <c r="C325" s="126">
        <f>C328*(1+$A325)</f>
        <v>7.6992766203703693E-3</v>
      </c>
      <c r="D325" s="122">
        <f t="shared" ref="D325:N325" si="212">$C325/D322</f>
        <v>7.9772850027149868E-3</v>
      </c>
      <c r="E325" s="122">
        <f t="shared" si="212"/>
        <v>8.2761223480279141E-3</v>
      </c>
      <c r="F325" s="122">
        <f t="shared" si="212"/>
        <v>8.5982205822439772E-3</v>
      </c>
      <c r="G325" s="122">
        <f t="shared" si="212"/>
        <v>8.9464055546948276E-3</v>
      </c>
      <c r="H325" s="122">
        <f t="shared" si="212"/>
        <v>9.3239801639362629E-3</v>
      </c>
      <c r="I325" s="122">
        <f t="shared" si="212"/>
        <v>9.7520919827363776E-3</v>
      </c>
      <c r="J325" s="122">
        <f t="shared" si="212"/>
        <v>1.0288336500795576E-2</v>
      </c>
      <c r="K325" s="122">
        <f t="shared" si="212"/>
        <v>1.1027322572859309E-2</v>
      </c>
      <c r="L325" s="122">
        <f t="shared" si="212"/>
        <v>1.2139182688798376E-2</v>
      </c>
      <c r="M325" s="122">
        <f t="shared" si="212"/>
        <v>1.3973278802850037E-2</v>
      </c>
      <c r="N325" s="122">
        <f t="shared" si="212"/>
        <v>1.7409330967485287E-2</v>
      </c>
      <c r="O325" s="116"/>
    </row>
    <row r="326" spans="1:16" x14ac:dyDescent="0.25">
      <c r="A326" s="118">
        <f>Puntenberekening!$I$19</f>
        <v>0.09</v>
      </c>
      <c r="B326" s="130">
        <v>9</v>
      </c>
      <c r="C326" s="126">
        <f>C328*(1+$A326)</f>
        <v>7.2975752314814813E-3</v>
      </c>
      <c r="D326" s="122">
        <f t="shared" ref="D326:N326" si="213">$C326/D322</f>
        <v>7.5610788286602929E-3</v>
      </c>
      <c r="E326" s="122">
        <f t="shared" si="213"/>
        <v>7.8443246603047204E-3</v>
      </c>
      <c r="F326" s="122">
        <f t="shared" si="213"/>
        <v>8.1496177692573363E-3</v>
      </c>
      <c r="G326" s="122">
        <f t="shared" si="213"/>
        <v>8.4796365692324897E-3</v>
      </c>
      <c r="H326" s="122">
        <f t="shared" si="213"/>
        <v>8.837511633643937E-3</v>
      </c>
      <c r="I326" s="122">
        <f t="shared" si="213"/>
        <v>9.2432871836370892E-3</v>
      </c>
      <c r="J326" s="122">
        <f t="shared" si="213"/>
        <v>9.7515537268410245E-3</v>
      </c>
      <c r="K326" s="122">
        <f t="shared" si="213"/>
        <v>1.0451984003840564E-2</v>
      </c>
      <c r="L326" s="122">
        <f t="shared" si="213"/>
        <v>1.1505834026774114E-2</v>
      </c>
      <c r="M326" s="122">
        <f t="shared" si="213"/>
        <v>1.3244238169657863E-2</v>
      </c>
      <c r="N326" s="122">
        <f t="shared" si="213"/>
        <v>1.650101804744258E-2</v>
      </c>
      <c r="O326" s="116"/>
    </row>
    <row r="327" spans="1:16" x14ac:dyDescent="0.25">
      <c r="A327" s="118">
        <f>Puntenberekening!$I$18</f>
        <v>0.04</v>
      </c>
      <c r="B327" s="130">
        <v>10</v>
      </c>
      <c r="C327" s="126">
        <f>C328*(1+$A327)</f>
        <v>6.9628240740740744E-3</v>
      </c>
      <c r="D327" s="122">
        <f t="shared" ref="D327:N327" si="214">$C327/D322</f>
        <v>7.2142403502813805E-3</v>
      </c>
      <c r="E327" s="122">
        <f t="shared" si="214"/>
        <v>7.4844932538687247E-3</v>
      </c>
      <c r="F327" s="122">
        <f t="shared" si="214"/>
        <v>7.775782091768468E-3</v>
      </c>
      <c r="G327" s="122">
        <f t="shared" si="214"/>
        <v>8.0906624146805418E-3</v>
      </c>
      <c r="H327" s="122">
        <f t="shared" si="214"/>
        <v>8.4321211917336662E-3</v>
      </c>
      <c r="I327" s="122">
        <f t="shared" si="214"/>
        <v>8.8192831843876811E-3</v>
      </c>
      <c r="J327" s="122">
        <f t="shared" si="214"/>
        <v>9.3042347485455656E-3</v>
      </c>
      <c r="K327" s="122">
        <f t="shared" si="214"/>
        <v>9.9725351963249435E-3</v>
      </c>
      <c r="L327" s="122">
        <f t="shared" si="214"/>
        <v>1.0978043475087228E-2</v>
      </c>
      <c r="M327" s="122">
        <f t="shared" si="214"/>
        <v>1.2636704308664383E-2</v>
      </c>
      <c r="N327" s="122">
        <f t="shared" si="214"/>
        <v>1.5744090614073655E-2</v>
      </c>
      <c r="O327" s="116"/>
    </row>
    <row r="328" spans="1:16" x14ac:dyDescent="0.25">
      <c r="A328" s="118">
        <f>Puntenberekening!$I$17</f>
        <v>0</v>
      </c>
      <c r="B328" s="130">
        <v>11</v>
      </c>
      <c r="C328" s="127">
        <f>VLOOKUP(A321,'KAVVV Records &amp; age-grading'!$A$3:$C$28,3,FALSE)</f>
        <v>6.6950231481481479E-3</v>
      </c>
      <c r="D328" s="122">
        <f t="shared" ref="D328:N328" si="215">$C328/D322</f>
        <v>6.9367695675782506E-3</v>
      </c>
      <c r="E328" s="122">
        <f t="shared" si="215"/>
        <v>7.1966281287199263E-3</v>
      </c>
      <c r="F328" s="122">
        <f t="shared" si="215"/>
        <v>7.4767135497773723E-3</v>
      </c>
      <c r="G328" s="122">
        <f t="shared" si="215"/>
        <v>7.7794830910389813E-3</v>
      </c>
      <c r="H328" s="122">
        <f t="shared" si="215"/>
        <v>8.1078088382054471E-3</v>
      </c>
      <c r="I328" s="122">
        <f t="shared" si="215"/>
        <v>8.480079984988155E-3</v>
      </c>
      <c r="J328" s="122">
        <f t="shared" si="215"/>
        <v>8.9463795659091971E-3</v>
      </c>
      <c r="K328" s="122">
        <f t="shared" si="215"/>
        <v>9.5889761503124438E-3</v>
      </c>
      <c r="L328" s="122">
        <f t="shared" si="215"/>
        <v>1.0555811033737719E-2</v>
      </c>
      <c r="M328" s="122">
        <f t="shared" si="215"/>
        <v>1.2150677219869599E-2</v>
      </c>
      <c r="N328" s="122">
        <f t="shared" si="215"/>
        <v>1.5138548667378513E-2</v>
      </c>
    </row>
    <row r="329" spans="1:16" x14ac:dyDescent="0.25">
      <c r="A329" s="118"/>
      <c r="B329" s="130"/>
      <c r="C329" s="123"/>
      <c r="D329" s="121"/>
      <c r="E329" s="121"/>
      <c r="F329" s="121"/>
      <c r="G329" s="121"/>
      <c r="H329" s="121"/>
      <c r="I329" s="121"/>
      <c r="J329" s="121"/>
      <c r="K329" s="121"/>
      <c r="L329" s="121"/>
      <c r="M329" s="121"/>
      <c r="N329" s="121"/>
    </row>
    <row r="330" spans="1:16" x14ac:dyDescent="0.25">
      <c r="A330" t="s">
        <v>254</v>
      </c>
      <c r="B330" s="129"/>
      <c r="C330" s="15" t="s">
        <v>243</v>
      </c>
      <c r="D330" s="15" t="s">
        <v>233</v>
      </c>
      <c r="E330" s="15" t="s">
        <v>232</v>
      </c>
      <c r="F330" s="15" t="s">
        <v>234</v>
      </c>
      <c r="G330" s="15" t="s">
        <v>235</v>
      </c>
      <c r="H330" s="15" t="s">
        <v>236</v>
      </c>
      <c r="I330" s="15" t="s">
        <v>237</v>
      </c>
      <c r="J330" s="15" t="s">
        <v>238</v>
      </c>
      <c r="K330" s="15" t="s">
        <v>239</v>
      </c>
      <c r="L330" s="15" t="s">
        <v>240</v>
      </c>
      <c r="M330" s="15" t="s">
        <v>241</v>
      </c>
      <c r="N330" s="15" t="s">
        <v>242</v>
      </c>
      <c r="O330" s="121"/>
      <c r="P330" s="122"/>
    </row>
    <row r="331" spans="1:16" ht="14.4" x14ac:dyDescent="0.3">
      <c r="C331" s="123"/>
      <c r="D331" s="124">
        <f>VLOOKUP($A330,'KAVVV Records &amp; age-grading'!$A$3:$AF$28,20,FALSE)</f>
        <v>0.96509999999999996</v>
      </c>
      <c r="E331" s="124">
        <f>VLOOKUP($A330,'KAVVV Records &amp; age-grading'!$A$3:$AF$28,21,FALSE)</f>
        <v>0.93020000000000003</v>
      </c>
      <c r="F331" s="124">
        <f>VLOOKUP($A330,'KAVVV Records &amp; age-grading'!$A$3:$AF$28,22,FALSE)</f>
        <v>0.89529999999999998</v>
      </c>
      <c r="G331" s="124">
        <f>VLOOKUP($A330,'KAVVV Records &amp; age-grading'!$A$3:$AF$28,23,FALSE)</f>
        <v>0.86040000000000005</v>
      </c>
      <c r="H331" s="124">
        <f>VLOOKUP($A330,'KAVVV Records &amp; age-grading'!$A$3:$AF$28,24,FALSE)</f>
        <v>0.82550000000000001</v>
      </c>
      <c r="I331" s="124">
        <f>VLOOKUP($A330,'KAVVV Records &amp; age-grading'!$A$3:$AF$28,25,FALSE)</f>
        <v>0.78920000000000001</v>
      </c>
      <c r="J331" s="124">
        <f>VLOOKUP($A330,'KAVVV Records &amp; age-grading'!$A$3:$AF$28,26,FALSE)</f>
        <v>0.748</v>
      </c>
      <c r="K331" s="124">
        <f>VLOOKUP($A330,'KAVVV Records &amp; age-grading'!$A$3:$AF$28,27,FALSE)</f>
        <v>0.69779999999999998</v>
      </c>
      <c r="L331" s="124">
        <f>VLOOKUP($A330,'KAVVV Records &amp; age-grading'!$A$3:$AF$28,28,FALSE)</f>
        <v>0.63380000000000003</v>
      </c>
      <c r="M331" s="124">
        <f>VLOOKUP($A330,'KAVVV Records &amp; age-grading'!$A$3:$AF$28,29,FALSE)</f>
        <v>0.55049999999999999</v>
      </c>
      <c r="N331" s="124">
        <f>VLOOKUP($A330,'KAVVV Records &amp; age-grading'!$A$3:$AF$28,30,FALSE)</f>
        <v>0.44169999999999998</v>
      </c>
      <c r="O331" s="116"/>
    </row>
    <row r="332" spans="1:16" x14ac:dyDescent="0.25">
      <c r="A332" s="118">
        <f>Puntenberekening!$I$22</f>
        <v>0.3</v>
      </c>
      <c r="B332" s="130">
        <v>6</v>
      </c>
      <c r="C332" s="126">
        <f>C337*(1+$A332)</f>
        <v>1.3236226851851853E-2</v>
      </c>
      <c r="D332" s="122">
        <f t="shared" ref="D332:N332" si="216">$C332/D331</f>
        <v>1.3714876025128851E-2</v>
      </c>
      <c r="E332" s="122">
        <f t="shared" si="216"/>
        <v>1.4229441896207109E-2</v>
      </c>
      <c r="F332" s="122">
        <f t="shared" si="216"/>
        <v>1.4784124708870605E-2</v>
      </c>
      <c r="G332" s="122">
        <f t="shared" si="216"/>
        <v>1.5383806196945436E-2</v>
      </c>
      <c r="H332" s="122">
        <f t="shared" si="216"/>
        <v>1.6034193642461361E-2</v>
      </c>
      <c r="I332" s="122">
        <f t="shared" si="216"/>
        <v>1.6771701535544668E-2</v>
      </c>
      <c r="J332" s="122">
        <f t="shared" si="216"/>
        <v>1.769549044365221E-2</v>
      </c>
      <c r="K332" s="122">
        <f t="shared" si="216"/>
        <v>1.8968510822372962E-2</v>
      </c>
      <c r="L332" s="122">
        <f t="shared" si="216"/>
        <v>2.0883917405888061E-2</v>
      </c>
      <c r="M332" s="122">
        <f t="shared" si="216"/>
        <v>2.4044008813536518E-2</v>
      </c>
      <c r="N332" s="122">
        <f t="shared" si="216"/>
        <v>2.9966553886918393E-2</v>
      </c>
      <c r="O332" s="116"/>
    </row>
    <row r="333" spans="1:16" x14ac:dyDescent="0.25">
      <c r="A333" s="118">
        <f>Puntenberekening!$I$21</f>
        <v>0.22</v>
      </c>
      <c r="B333" s="130">
        <v>7</v>
      </c>
      <c r="C333" s="126">
        <f>C337*(1+$A333)</f>
        <v>1.2421689814814816E-2</v>
      </c>
      <c r="D333" s="122">
        <f t="shared" ref="D333:N333" si="217">$C333/D331</f>
        <v>1.2870883654351691E-2</v>
      </c>
      <c r="E333" s="122">
        <f t="shared" si="217"/>
        <v>1.3353783933363594E-2</v>
      </c>
      <c r="F333" s="122">
        <f t="shared" si="217"/>
        <v>1.3874332419093954E-2</v>
      </c>
      <c r="G333" s="122">
        <f t="shared" si="217"/>
        <v>1.4437110430979562E-2</v>
      </c>
      <c r="H333" s="122">
        <f t="shared" si="217"/>
        <v>1.5047474033694507E-2</v>
      </c>
      <c r="I333" s="122">
        <f t="shared" si="217"/>
        <v>1.5739596825664996E-2</v>
      </c>
      <c r="J333" s="122">
        <f t="shared" si="217"/>
        <v>1.6606537185581305E-2</v>
      </c>
      <c r="K333" s="122">
        <f t="shared" si="217"/>
        <v>1.7801217848688471E-2</v>
      </c>
      <c r="L333" s="122">
        <f t="shared" si="217"/>
        <v>1.9598753257833411E-2</v>
      </c>
      <c r="M333" s="122">
        <f t="shared" si="217"/>
        <v>2.2564377501934272E-2</v>
      </c>
      <c r="N333" s="122">
        <f t="shared" si="217"/>
        <v>2.8122458263108028E-2</v>
      </c>
      <c r="O333" s="116"/>
    </row>
    <row r="334" spans="1:16" x14ac:dyDescent="0.25">
      <c r="A334" s="118">
        <f>Puntenberekening!$I$20</f>
        <v>0.15</v>
      </c>
      <c r="B334" s="130">
        <v>8</v>
      </c>
      <c r="C334" s="126">
        <f>C337*(1+$A334)</f>
        <v>1.1708969907407408E-2</v>
      </c>
      <c r="D334" s="122">
        <f t="shared" ref="D334:N334" si="218">$C334/D331</f>
        <v>1.2132390329921675E-2</v>
      </c>
      <c r="E334" s="122">
        <f t="shared" si="218"/>
        <v>1.2587583215875518E-2</v>
      </c>
      <c r="F334" s="122">
        <f t="shared" si="218"/>
        <v>1.3078264165539382E-2</v>
      </c>
      <c r="G334" s="122">
        <f t="shared" si="218"/>
        <v>1.3608751635759421E-2</v>
      </c>
      <c r="H334" s="122">
        <f t="shared" si="218"/>
        <v>1.418409437602351E-2</v>
      </c>
      <c r="I334" s="122">
        <f t="shared" si="218"/>
        <v>1.4836505204520282E-2</v>
      </c>
      <c r="J334" s="122">
        <f t="shared" si="218"/>
        <v>1.5653703084769263E-2</v>
      </c>
      <c r="K334" s="122">
        <f t="shared" si="218"/>
        <v>1.6779836496714544E-2</v>
      </c>
      <c r="L334" s="122">
        <f t="shared" si="218"/>
        <v>1.8474234628285589E-2</v>
      </c>
      <c r="M334" s="122">
        <f t="shared" si="218"/>
        <v>2.1269700104282304E-2</v>
      </c>
      <c r="N334" s="122">
        <f t="shared" si="218"/>
        <v>2.6508874592273961E-2</v>
      </c>
      <c r="O334" s="116"/>
    </row>
    <row r="335" spans="1:16" x14ac:dyDescent="0.25">
      <c r="A335" s="118">
        <f>Puntenberekening!$I$19</f>
        <v>0.09</v>
      </c>
      <c r="B335" s="130">
        <v>9</v>
      </c>
      <c r="C335" s="126">
        <f>C337*(1+$A335)</f>
        <v>1.1098067129629631E-2</v>
      </c>
      <c r="D335" s="122">
        <f t="shared" ref="D335:N335" si="219">$C335/D331</f>
        <v>1.1499396051838806E-2</v>
      </c>
      <c r="E335" s="122">
        <f t="shared" si="219"/>
        <v>1.1930839743742884E-2</v>
      </c>
      <c r="F335" s="122">
        <f t="shared" si="219"/>
        <v>1.2395919948206893E-2</v>
      </c>
      <c r="G335" s="122">
        <f t="shared" si="219"/>
        <v>1.2898729811285019E-2</v>
      </c>
      <c r="H335" s="122">
        <f t="shared" si="219"/>
        <v>1.3444054669448372E-2</v>
      </c>
      <c r="I335" s="122">
        <f t="shared" si="219"/>
        <v>1.4062426672110532E-2</v>
      </c>
      <c r="J335" s="122">
        <f t="shared" si="219"/>
        <v>1.4836988141216085E-2</v>
      </c>
      <c r="K335" s="122">
        <f t="shared" si="219"/>
        <v>1.5904366766451176E-2</v>
      </c>
      <c r="L335" s="122">
        <f t="shared" si="219"/>
        <v>1.7510361517244607E-2</v>
      </c>
      <c r="M335" s="122">
        <f t="shared" si="219"/>
        <v>2.0159976620580621E-2</v>
      </c>
      <c r="N335" s="122">
        <f t="shared" si="219"/>
        <v>2.5125802874416191E-2</v>
      </c>
      <c r="O335" s="116"/>
    </row>
    <row r="336" spans="1:16" x14ac:dyDescent="0.25">
      <c r="A336" s="118">
        <f>Puntenberekening!$I$18</f>
        <v>0.04</v>
      </c>
      <c r="B336" s="130">
        <v>10</v>
      </c>
      <c r="C336" s="126">
        <f>C337*(1+$A336)</f>
        <v>1.0588981481481482E-2</v>
      </c>
      <c r="D336" s="122">
        <f t="shared" ref="D336:N336" si="220">$C336/D331</f>
        <v>1.0971900820103081E-2</v>
      </c>
      <c r="E336" s="122">
        <f t="shared" si="220"/>
        <v>1.1383553516965687E-2</v>
      </c>
      <c r="F336" s="122">
        <f t="shared" si="220"/>
        <v>1.1827299767096485E-2</v>
      </c>
      <c r="G336" s="122">
        <f t="shared" si="220"/>
        <v>1.2307044957556348E-2</v>
      </c>
      <c r="H336" s="122">
        <f t="shared" si="220"/>
        <v>1.2827354913969087E-2</v>
      </c>
      <c r="I336" s="122">
        <f t="shared" si="220"/>
        <v>1.3417361228435735E-2</v>
      </c>
      <c r="J336" s="122">
        <f t="shared" si="220"/>
        <v>1.4156392354921768E-2</v>
      </c>
      <c r="K336" s="122">
        <f t="shared" si="220"/>
        <v>1.5174808657898369E-2</v>
      </c>
      <c r="L336" s="122">
        <f t="shared" si="220"/>
        <v>1.6707133924710446E-2</v>
      </c>
      <c r="M336" s="122">
        <f t="shared" si="220"/>
        <v>1.9235207050829213E-2</v>
      </c>
      <c r="N336" s="122">
        <f t="shared" si="220"/>
        <v>2.3973243109534713E-2</v>
      </c>
      <c r="O336" s="116"/>
    </row>
    <row r="337" spans="1:16" x14ac:dyDescent="0.25">
      <c r="A337" s="118">
        <f>Puntenberekening!$I$17</f>
        <v>0</v>
      </c>
      <c r="B337" s="130">
        <v>11</v>
      </c>
      <c r="C337" s="127">
        <f>VLOOKUP(A330,'KAVVV Records &amp; age-grading'!$A$3:$C$28,3,FALSE)</f>
        <v>1.0181712962962964E-2</v>
      </c>
      <c r="D337" s="122">
        <f t="shared" ref="D337:N337" si="221">$C337/D331</f>
        <v>1.05499046347145E-2</v>
      </c>
      <c r="E337" s="122">
        <f t="shared" si="221"/>
        <v>1.0945724535543929E-2</v>
      </c>
      <c r="F337" s="122">
        <f t="shared" si="221"/>
        <v>1.1372403622208158E-2</v>
      </c>
      <c r="G337" s="122">
        <f t="shared" si="221"/>
        <v>1.1833697074573411E-2</v>
      </c>
      <c r="H337" s="122">
        <f t="shared" si="221"/>
        <v>1.2333995109585662E-2</v>
      </c>
      <c r="I337" s="122">
        <f t="shared" si="221"/>
        <v>1.2901308873495899E-2</v>
      </c>
      <c r="J337" s="122">
        <f t="shared" si="221"/>
        <v>1.3611915725886315E-2</v>
      </c>
      <c r="K337" s="122">
        <f t="shared" si="221"/>
        <v>1.4591162171056125E-2</v>
      </c>
      <c r="L337" s="122">
        <f t="shared" si="221"/>
        <v>1.6064551850683121E-2</v>
      </c>
      <c r="M337" s="122">
        <f t="shared" si="221"/>
        <v>1.849539139502809E-2</v>
      </c>
      <c r="N337" s="122">
        <f t="shared" si="221"/>
        <v>2.3051195297629532E-2</v>
      </c>
    </row>
    <row r="338" spans="1:16" x14ac:dyDescent="0.25">
      <c r="A338" s="118"/>
      <c r="B338" s="130"/>
      <c r="C338" s="123"/>
      <c r="D338" s="121"/>
      <c r="E338" s="121"/>
      <c r="F338" s="121"/>
      <c r="G338" s="121"/>
      <c r="H338" s="121"/>
      <c r="I338" s="121"/>
      <c r="J338" s="121"/>
      <c r="K338" s="121"/>
      <c r="L338" s="121"/>
      <c r="M338" s="121"/>
      <c r="N338" s="121"/>
    </row>
    <row r="339" spans="1:16" x14ac:dyDescent="0.25">
      <c r="A339" t="s">
        <v>291</v>
      </c>
      <c r="B339" s="129"/>
      <c r="C339" s="15" t="s">
        <v>243</v>
      </c>
      <c r="D339" s="15" t="s">
        <v>233</v>
      </c>
      <c r="E339" s="15" t="s">
        <v>232</v>
      </c>
      <c r="F339" s="15" t="s">
        <v>234</v>
      </c>
      <c r="G339" s="15" t="s">
        <v>235</v>
      </c>
      <c r="H339" s="15" t="s">
        <v>236</v>
      </c>
      <c r="I339" s="15" t="s">
        <v>237</v>
      </c>
      <c r="J339" s="15" t="s">
        <v>238</v>
      </c>
      <c r="K339" s="15" t="s">
        <v>239</v>
      </c>
      <c r="L339" s="15" t="s">
        <v>240</v>
      </c>
      <c r="M339" s="15" t="s">
        <v>241</v>
      </c>
      <c r="N339" s="15" t="s">
        <v>242</v>
      </c>
      <c r="O339" s="121"/>
      <c r="P339" s="122"/>
    </row>
    <row r="340" spans="1:16" ht="14.4" x14ac:dyDescent="0.3">
      <c r="C340" s="123"/>
      <c r="D340" s="124">
        <f>VLOOKUP($A339,'KAVVV Records &amp; age-grading'!$A$3:$AF$28,20,FALSE)</f>
        <v>0.96479999999999999</v>
      </c>
      <c r="E340" s="124">
        <f>VLOOKUP($A339,'KAVVV Records &amp; age-grading'!$A$3:$AF$28,21,FALSE)</f>
        <v>0.92959999999999998</v>
      </c>
      <c r="F340" s="124">
        <f>VLOOKUP($A339,'KAVVV Records &amp; age-grading'!$A$3:$AF$28,22,FALSE)</f>
        <v>0.89439999999999997</v>
      </c>
      <c r="G340" s="124">
        <f>VLOOKUP($A339,'KAVVV Records &amp; age-grading'!$A$3:$AF$28,23,FALSE)</f>
        <v>0.85919999999999996</v>
      </c>
      <c r="H340" s="124">
        <f>VLOOKUP($A339,'KAVVV Records &amp; age-grading'!$A$3:$AF$28,24,FALSE)</f>
        <v>0.82399999999999995</v>
      </c>
      <c r="I340" s="124">
        <f>VLOOKUP($A339,'KAVVV Records &amp; age-grading'!$A$3:$AF$28,25,FALSE)</f>
        <v>0.78580000000000005</v>
      </c>
      <c r="J340" s="124">
        <f>VLOOKUP($A339,'KAVVV Records &amp; age-grading'!$A$3:$AF$28,26,FALSE)</f>
        <v>0.74180000000000001</v>
      </c>
      <c r="K340" s="124">
        <f>VLOOKUP($A339,'KAVVV Records &amp; age-grading'!$A$3:$AF$28,27,FALSE)</f>
        <v>0.6885</v>
      </c>
      <c r="L340" s="124">
        <f>VLOOKUP($A339,'KAVVV Records &amp; age-grading'!$A$3:$AF$28,28,FALSE)</f>
        <v>0.62170000000000003</v>
      </c>
      <c r="M340" s="124">
        <f>VLOOKUP($A339,'KAVVV Records &amp; age-grading'!$A$3:$AF$28,29,FALSE)</f>
        <v>0.53649999999999998</v>
      </c>
      <c r="N340" s="124">
        <f>VLOOKUP($A339,'KAVVV Records &amp; age-grading'!$A$3:$AF$28,30,FALSE)</f>
        <v>0.42730000000000001</v>
      </c>
      <c r="O340" s="116"/>
    </row>
    <row r="341" spans="1:16" x14ac:dyDescent="0.25">
      <c r="A341" s="118">
        <f>Puntenberekening!$I$22</f>
        <v>0.3</v>
      </c>
      <c r="B341" s="130">
        <v>6</v>
      </c>
      <c r="C341" s="126">
        <f>C346*(1+$A341)</f>
        <v>2.7628009259259255E-2</v>
      </c>
      <c r="D341" s="122">
        <f t="shared" ref="D341:N341" si="222">$C341/D340</f>
        <v>2.8635996330078E-2</v>
      </c>
      <c r="E341" s="122">
        <f t="shared" si="222"/>
        <v>2.9720319771148081E-2</v>
      </c>
      <c r="F341" s="122">
        <f t="shared" si="222"/>
        <v>3.0889992463393624E-2</v>
      </c>
      <c r="G341" s="122">
        <f t="shared" si="222"/>
        <v>3.2155504258914405E-2</v>
      </c>
      <c r="H341" s="122">
        <f t="shared" si="222"/>
        <v>3.3529137450557349E-2</v>
      </c>
      <c r="I341" s="122">
        <f t="shared" si="222"/>
        <v>3.515908533883845E-2</v>
      </c>
      <c r="J341" s="122">
        <f t="shared" si="222"/>
        <v>3.7244552789510992E-2</v>
      </c>
      <c r="K341" s="122">
        <f t="shared" si="222"/>
        <v>4.0127827537050478E-2</v>
      </c>
      <c r="L341" s="122">
        <f t="shared" si="222"/>
        <v>4.4439455137943146E-2</v>
      </c>
      <c r="M341" s="122">
        <f t="shared" si="222"/>
        <v>5.1496755376065718E-2</v>
      </c>
      <c r="N341" s="122">
        <f t="shared" si="222"/>
        <v>6.4657171212869777E-2</v>
      </c>
      <c r="O341" s="116"/>
    </row>
    <row r="342" spans="1:16" x14ac:dyDescent="0.25">
      <c r="A342" s="118">
        <f>Puntenberekening!$I$21</f>
        <v>0.22</v>
      </c>
      <c r="B342" s="130">
        <v>7</v>
      </c>
      <c r="C342" s="126">
        <f>C346*(1+$A342)</f>
        <v>2.5927824074074068E-2</v>
      </c>
      <c r="D342" s="122">
        <f t="shared" ref="D342:N342" si="223">$C342/D340</f>
        <v>2.6873781171303967E-2</v>
      </c>
      <c r="E342" s="122">
        <f t="shared" si="223"/>
        <v>2.7891377016000505E-2</v>
      </c>
      <c r="F342" s="122">
        <f t="shared" si="223"/>
        <v>2.8989069850261704E-2</v>
      </c>
      <c r="G342" s="122">
        <f t="shared" si="223"/>
        <v>3.0176703996827363E-2</v>
      </c>
      <c r="H342" s="122">
        <f t="shared" si="223"/>
        <v>3.1465805915138437E-2</v>
      </c>
      <c r="I342" s="122">
        <f t="shared" si="223"/>
        <v>3.2995449317986848E-2</v>
      </c>
      <c r="J342" s="122">
        <f t="shared" si="223"/>
        <v>3.4952580310156467E-2</v>
      </c>
      <c r="K342" s="122">
        <f t="shared" si="223"/>
        <v>3.7658422765539677E-2</v>
      </c>
      <c r="L342" s="122">
        <f t="shared" si="223"/>
        <v>4.170471943714664E-2</v>
      </c>
      <c r="M342" s="122">
        <f t="shared" si="223"/>
        <v>4.8327724276000128E-2</v>
      </c>
      <c r="N342" s="122">
        <f t="shared" si="223"/>
        <v>6.0678268369000858E-2</v>
      </c>
      <c r="O342" s="116"/>
    </row>
    <row r="343" spans="1:16" x14ac:dyDescent="0.25">
      <c r="A343" s="118">
        <f>Puntenberekening!$I$20</f>
        <v>0.15</v>
      </c>
      <c r="B343" s="130">
        <v>8</v>
      </c>
      <c r="C343" s="126">
        <f>C346*(1+$A343)</f>
        <v>2.4440162037037031E-2</v>
      </c>
      <c r="D343" s="122">
        <f t="shared" ref="D343:N343" si="224">$C343/D340</f>
        <v>2.5331842907376691E-2</v>
      </c>
      <c r="E343" s="122">
        <f t="shared" si="224"/>
        <v>2.6291052105246376E-2</v>
      </c>
      <c r="F343" s="122">
        <f t="shared" si="224"/>
        <v>2.732576256377128E-2</v>
      </c>
      <c r="G343" s="122">
        <f t="shared" si="224"/>
        <v>2.8445253767501202E-2</v>
      </c>
      <c r="H343" s="122">
        <f t="shared" si="224"/>
        <v>2.9660390821646884E-2</v>
      </c>
      <c r="I343" s="122">
        <f t="shared" si="224"/>
        <v>3.1102267799741703E-2</v>
      </c>
      <c r="J343" s="122">
        <f t="shared" si="224"/>
        <v>3.2947104390721259E-2</v>
      </c>
      <c r="K343" s="122">
        <f t="shared" si="224"/>
        <v>3.5497693590467727E-2</v>
      </c>
      <c r="L343" s="122">
        <f t="shared" si="224"/>
        <v>3.9311825698949705E-2</v>
      </c>
      <c r="M343" s="122">
        <f t="shared" si="224"/>
        <v>4.5554822063442746E-2</v>
      </c>
      <c r="N343" s="122">
        <f t="shared" si="224"/>
        <v>5.7196728380615562E-2</v>
      </c>
      <c r="O343" s="116"/>
    </row>
    <row r="344" spans="1:16" x14ac:dyDescent="0.25">
      <c r="A344" s="118">
        <f>Puntenberekening!$I$19</f>
        <v>0.09</v>
      </c>
      <c r="B344" s="130">
        <v>9</v>
      </c>
      <c r="C344" s="126">
        <f>C346*(1+$A344)</f>
        <v>2.3165023148148146E-2</v>
      </c>
      <c r="D344" s="122">
        <f t="shared" ref="D344:N344" si="225">$C344/D340</f>
        <v>2.4010181538296173E-2</v>
      </c>
      <c r="E344" s="122">
        <f t="shared" si="225"/>
        <v>2.4919345038885699E-2</v>
      </c>
      <c r="F344" s="122">
        <f t="shared" si="225"/>
        <v>2.5900070603922347E-2</v>
      </c>
      <c r="G344" s="122">
        <f t="shared" si="225"/>
        <v>2.6961153570935925E-2</v>
      </c>
      <c r="H344" s="122">
        <f t="shared" si="225"/>
        <v>2.8112892170082702E-2</v>
      </c>
      <c r="I344" s="122">
        <f t="shared" si="225"/>
        <v>2.947954078410301E-2</v>
      </c>
      <c r="J344" s="122">
        <f t="shared" si="225"/>
        <v>3.1228125031205374E-2</v>
      </c>
      <c r="K344" s="122">
        <f t="shared" si="225"/>
        <v>3.3645640011834635E-2</v>
      </c>
      <c r="L344" s="122">
        <f t="shared" si="225"/>
        <v>3.7260773923352336E-2</v>
      </c>
      <c r="M344" s="122">
        <f t="shared" si="225"/>
        <v>4.3178048738393565E-2</v>
      </c>
      <c r="N344" s="122">
        <f t="shared" si="225"/>
        <v>5.4212551247713889E-2</v>
      </c>
      <c r="O344" s="116"/>
    </row>
    <row r="345" spans="1:16" x14ac:dyDescent="0.25">
      <c r="A345" s="118">
        <f>Puntenberekening!$I$18</f>
        <v>0.04</v>
      </c>
      <c r="B345" s="130">
        <v>10</v>
      </c>
      <c r="C345" s="126">
        <f>C346*(1+$A345)</f>
        <v>2.2102407407407404E-2</v>
      </c>
      <c r="D345" s="122">
        <f t="shared" ref="D345:N345" si="226">$C345/D340</f>
        <v>2.2908797064062399E-2</v>
      </c>
      <c r="E345" s="122">
        <f t="shared" si="226"/>
        <v>2.3776255816918463E-2</v>
      </c>
      <c r="F345" s="122">
        <f t="shared" si="226"/>
        <v>2.4711993970714899E-2</v>
      </c>
      <c r="G345" s="122">
        <f t="shared" si="226"/>
        <v>2.5724403407131523E-2</v>
      </c>
      <c r="H345" s="122">
        <f t="shared" si="226"/>
        <v>2.6823309960445879E-2</v>
      </c>
      <c r="I345" s="122">
        <f t="shared" si="226"/>
        <v>2.812726827107076E-2</v>
      </c>
      <c r="J345" s="122">
        <f t="shared" si="226"/>
        <v>2.9795642231608795E-2</v>
      </c>
      <c r="K345" s="122">
        <f t="shared" si="226"/>
        <v>3.210226202964038E-2</v>
      </c>
      <c r="L345" s="122">
        <f t="shared" si="226"/>
        <v>3.5551564110354518E-2</v>
      </c>
      <c r="M345" s="122">
        <f t="shared" si="226"/>
        <v>4.1197404300852572E-2</v>
      </c>
      <c r="N345" s="122">
        <f t="shared" si="226"/>
        <v>5.1725736970295817E-2</v>
      </c>
      <c r="O345" s="116"/>
    </row>
    <row r="346" spans="1:16" x14ac:dyDescent="0.25">
      <c r="A346" s="118">
        <f>Puntenberekening!$I$17</f>
        <v>0</v>
      </c>
      <c r="B346" s="130">
        <v>11</v>
      </c>
      <c r="C346" s="127">
        <f>VLOOKUP(A339,'KAVVV Records &amp; age-grading'!$A$3:$C$28,3,FALSE)</f>
        <v>2.1252314814814811E-2</v>
      </c>
      <c r="D346" s="122">
        <f t="shared" ref="D346:N346" si="227">$C346/D340</f>
        <v>2.2027689484675383E-2</v>
      </c>
      <c r="E346" s="122">
        <f t="shared" si="227"/>
        <v>2.2861784439344675E-2</v>
      </c>
      <c r="F346" s="122">
        <f t="shared" si="227"/>
        <v>2.3761532664148939E-2</v>
      </c>
      <c r="G346" s="122">
        <f t="shared" si="227"/>
        <v>2.4735003276088002E-2</v>
      </c>
      <c r="H346" s="122">
        <f t="shared" si="227"/>
        <v>2.5791644192736423E-2</v>
      </c>
      <c r="I346" s="122">
        <f t="shared" si="227"/>
        <v>2.7045450260644959E-2</v>
      </c>
      <c r="J346" s="122">
        <f t="shared" si="227"/>
        <v>2.8649655991931533E-2</v>
      </c>
      <c r="K346" s="122">
        <f t="shared" si="227"/>
        <v>3.0867559643884983E-2</v>
      </c>
      <c r="L346" s="122">
        <f t="shared" si="227"/>
        <v>3.4184196259956265E-2</v>
      </c>
      <c r="M346" s="122">
        <f t="shared" si="227"/>
        <v>3.961288875081978E-2</v>
      </c>
      <c r="N346" s="122">
        <f t="shared" si="227"/>
        <v>4.9736285548361361E-2</v>
      </c>
    </row>
    <row r="347" spans="1:16" x14ac:dyDescent="0.25">
      <c r="A347" s="118"/>
      <c r="B347" s="130"/>
      <c r="C347" s="123"/>
      <c r="D347" s="121"/>
      <c r="E347" s="121"/>
      <c r="F347" s="121"/>
      <c r="G347" s="121"/>
      <c r="H347" s="121"/>
      <c r="I347" s="121"/>
      <c r="J347" s="121"/>
      <c r="K347" s="121"/>
      <c r="L347" s="121"/>
      <c r="M347" s="121"/>
      <c r="N347" s="121"/>
    </row>
    <row r="348" spans="1:16" x14ac:dyDescent="0.25">
      <c r="A348" t="s">
        <v>303</v>
      </c>
      <c r="B348" s="129"/>
      <c r="C348" s="15" t="s">
        <v>243</v>
      </c>
      <c r="D348" s="15" t="s">
        <v>233</v>
      </c>
      <c r="E348" s="15" t="s">
        <v>232</v>
      </c>
      <c r="F348" s="15" t="s">
        <v>234</v>
      </c>
      <c r="G348" s="15" t="s">
        <v>235</v>
      </c>
      <c r="H348" s="15" t="s">
        <v>236</v>
      </c>
      <c r="I348" s="15" t="s">
        <v>237</v>
      </c>
      <c r="J348" s="15" t="s">
        <v>238</v>
      </c>
      <c r="K348" s="15" t="s">
        <v>239</v>
      </c>
      <c r="L348" s="15" t="s">
        <v>240</v>
      </c>
      <c r="M348" s="15" t="s">
        <v>241</v>
      </c>
      <c r="N348" s="15" t="s">
        <v>242</v>
      </c>
      <c r="O348" s="15"/>
      <c r="P348" s="15"/>
    </row>
    <row r="349" spans="1:16" ht="14.4" x14ac:dyDescent="0.3">
      <c r="C349" s="123"/>
      <c r="D349" s="124">
        <f>VLOOKUP($A348,'KAVVV Records &amp; age-grading'!$A$3:$AF$28,20,FALSE)</f>
        <v>0.94620000000000004</v>
      </c>
      <c r="E349" s="124">
        <f>VLOOKUP($A348,'KAVVV Records &amp; age-grading'!$A$3:$AF$28,21,FALSE)</f>
        <v>0.90869999999999995</v>
      </c>
      <c r="F349" s="124">
        <f>VLOOKUP($A348,'KAVVV Records &amp; age-grading'!$A$3:$AF$28,22,FALSE)</f>
        <v>0.98370000000000002</v>
      </c>
      <c r="G349" s="124">
        <f>VLOOKUP($A348,'KAVVV Records &amp; age-grading'!$A$3:$AF$28,23,FALSE)</f>
        <v>0.9526</v>
      </c>
      <c r="H349" s="124">
        <f>VLOOKUP($A348,'KAVVV Records &amp; age-grading'!$A$3:$AF$28,24,FALSE)</f>
        <v>0.91510000000000002</v>
      </c>
      <c r="I349" s="124">
        <f>VLOOKUP($A348,'KAVVV Records &amp; age-grading'!$A$3:$AF$28,25,FALSE)</f>
        <v>0.86370000000000002</v>
      </c>
      <c r="J349" s="124">
        <f>VLOOKUP($A348,'KAVVV Records &amp; age-grading'!$A$3:$AF$28,26,FALSE)</f>
        <v>0</v>
      </c>
      <c r="K349" s="124">
        <f>VLOOKUP($A348,'KAVVV Records &amp; age-grading'!$A$3:$AF$28,27,FALSE)</f>
        <v>0</v>
      </c>
      <c r="L349" s="124">
        <f>VLOOKUP($A348,'KAVVV Records &amp; age-grading'!$A$3:$AF$28,28,FALSE)</f>
        <v>0</v>
      </c>
      <c r="M349" s="124">
        <f>VLOOKUP($A348,'KAVVV Records &amp; age-grading'!$A$3:$AF$28,29,FALSE)</f>
        <v>0</v>
      </c>
      <c r="N349" s="124">
        <f>VLOOKUP($A348,'KAVVV Records &amp; age-grading'!$A$3:$AF$28,30,FALSE)</f>
        <v>0</v>
      </c>
      <c r="O349" s="124"/>
      <c r="P349" s="124"/>
    </row>
    <row r="350" spans="1:16" x14ac:dyDescent="0.25">
      <c r="A350" s="118">
        <f>Puntenberekening!$I$22</f>
        <v>0.3</v>
      </c>
      <c r="B350" s="130">
        <v>6</v>
      </c>
      <c r="C350" s="120">
        <f>C355*(1+$A350)</f>
        <v>2.3246527777777778E-4</v>
      </c>
      <c r="D350" s="121">
        <f t="shared" ref="D350:I350" si="228">$C350/D349</f>
        <v>2.4568302449564337E-4</v>
      </c>
      <c r="E350" s="121">
        <f t="shared" si="228"/>
        <v>2.5582180893339693E-4</v>
      </c>
      <c r="F350" s="121">
        <f t="shared" si="228"/>
        <v>2.3631724893542522E-4</v>
      </c>
      <c r="G350" s="121">
        <f t="shared" si="228"/>
        <v>2.4403241421139805E-4</v>
      </c>
      <c r="H350" s="121">
        <f t="shared" si="228"/>
        <v>2.5403264974076906E-4</v>
      </c>
      <c r="I350" s="121">
        <f t="shared" si="228"/>
        <v>2.6915048949609563E-4</v>
      </c>
      <c r="J350" s="121"/>
      <c r="K350" s="121"/>
      <c r="L350" s="121"/>
      <c r="M350" s="121"/>
      <c r="N350" s="121"/>
      <c r="O350" s="121"/>
      <c r="P350" s="122"/>
    </row>
    <row r="351" spans="1:16" x14ac:dyDescent="0.25">
      <c r="A351" s="118">
        <f>Puntenberekening!$I$21</f>
        <v>0.22</v>
      </c>
      <c r="B351" s="130">
        <v>7</v>
      </c>
      <c r="C351" s="120">
        <f>C355*(1+$A351)</f>
        <v>2.1815972222222221E-4</v>
      </c>
      <c r="D351" s="121">
        <f t="shared" ref="D351:I351" si="229">$C351/D349</f>
        <v>2.3056406914206531E-4</v>
      </c>
      <c r="E351" s="121">
        <f t="shared" si="229"/>
        <v>2.400789283836494E-4</v>
      </c>
      <c r="F351" s="121">
        <f t="shared" si="229"/>
        <v>2.2177464900093749E-4</v>
      </c>
      <c r="G351" s="121">
        <f t="shared" si="229"/>
        <v>2.29015034875312E-4</v>
      </c>
      <c r="H351" s="121">
        <f t="shared" si="229"/>
        <v>2.3839987129518325E-4</v>
      </c>
      <c r="I351" s="121">
        <f t="shared" si="229"/>
        <v>2.5258738245018201E-4</v>
      </c>
      <c r="J351" s="121"/>
      <c r="K351" s="121"/>
      <c r="L351" s="121"/>
      <c r="M351" s="121"/>
      <c r="N351" s="121"/>
      <c r="O351" s="121"/>
      <c r="P351" s="122"/>
    </row>
    <row r="352" spans="1:16" x14ac:dyDescent="0.25">
      <c r="A352" s="118">
        <f>Puntenberekening!$I$20</f>
        <v>0.15</v>
      </c>
      <c r="B352" s="130">
        <v>8</v>
      </c>
      <c r="C352" s="120">
        <f>C355*(1+$A352)</f>
        <v>2.0564236111111109E-4</v>
      </c>
      <c r="D352" s="121">
        <f t="shared" ref="D352:I352" si="230">$C352/D349</f>
        <v>2.173349832076845E-4</v>
      </c>
      <c r="E352" s="121">
        <f t="shared" si="230"/>
        <v>2.2630390790262034E-4</v>
      </c>
      <c r="F352" s="121">
        <f t="shared" si="230"/>
        <v>2.0904987405826074E-4</v>
      </c>
      <c r="G352" s="121">
        <f t="shared" si="230"/>
        <v>2.1587482795623671E-4</v>
      </c>
      <c r="H352" s="121">
        <f t="shared" si="230"/>
        <v>2.2472119015529569E-4</v>
      </c>
      <c r="I352" s="121">
        <f t="shared" si="230"/>
        <v>2.3809466378500762E-4</v>
      </c>
      <c r="J352" s="121"/>
      <c r="K352" s="121"/>
      <c r="L352" s="121"/>
      <c r="M352" s="121"/>
      <c r="N352" s="121"/>
      <c r="O352" s="121"/>
      <c r="P352" s="122"/>
    </row>
    <row r="353" spans="1:16" x14ac:dyDescent="0.25">
      <c r="A353" s="118">
        <f>Puntenberekening!$I$19</f>
        <v>0.09</v>
      </c>
      <c r="B353" s="130">
        <v>9</v>
      </c>
      <c r="C353" s="120">
        <f>C355*(1+$A353)</f>
        <v>1.9491319444444447E-4</v>
      </c>
      <c r="D353" s="121">
        <f t="shared" ref="D353:I353" si="231">$C353/D349</f>
        <v>2.0599576669250101E-4</v>
      </c>
      <c r="E353" s="121">
        <f t="shared" si="231"/>
        <v>2.1449674749030975E-4</v>
      </c>
      <c r="F353" s="121">
        <f t="shared" si="231"/>
        <v>1.9814292410739499E-4</v>
      </c>
      <c r="G353" s="121">
        <f t="shared" si="231"/>
        <v>2.0461179345417223E-4</v>
      </c>
      <c r="H353" s="121">
        <f t="shared" si="231"/>
        <v>2.1299660632110641E-4</v>
      </c>
      <c r="I353" s="121">
        <f t="shared" si="231"/>
        <v>2.2567233350057249E-4</v>
      </c>
      <c r="J353" s="121"/>
      <c r="K353" s="121"/>
      <c r="L353" s="121"/>
      <c r="M353" s="121"/>
      <c r="N353" s="121"/>
      <c r="O353" s="121"/>
      <c r="P353" s="122"/>
    </row>
    <row r="354" spans="1:16" x14ac:dyDescent="0.25">
      <c r="A354" s="118">
        <f>Puntenberekening!$I$18</f>
        <v>0.04</v>
      </c>
      <c r="B354" s="130">
        <v>10</v>
      </c>
      <c r="C354" s="120">
        <f>C355*(1+$A354)</f>
        <v>1.8597222222222222E-4</v>
      </c>
      <c r="D354" s="121">
        <f t="shared" ref="D354:I354" si="232">$C354/D349</f>
        <v>1.965464195965147E-4</v>
      </c>
      <c r="E354" s="121">
        <f t="shared" si="232"/>
        <v>2.0465744714671754E-4</v>
      </c>
      <c r="F354" s="121">
        <f t="shared" si="232"/>
        <v>1.8905379914834015E-4</v>
      </c>
      <c r="G354" s="121">
        <f t="shared" si="232"/>
        <v>1.9522593136911843E-4</v>
      </c>
      <c r="H354" s="121">
        <f t="shared" si="232"/>
        <v>2.0322611979261526E-4</v>
      </c>
      <c r="I354" s="121">
        <f t="shared" si="232"/>
        <v>2.1532039159687647E-4</v>
      </c>
      <c r="J354" s="121"/>
      <c r="K354" s="121"/>
      <c r="L354" s="121"/>
      <c r="M354" s="121"/>
      <c r="N354" s="121"/>
      <c r="O354" s="121"/>
      <c r="P354" s="122"/>
    </row>
    <row r="355" spans="1:16" x14ac:dyDescent="0.25">
      <c r="A355" s="118">
        <f>Puntenberekening!$I$17</f>
        <v>0</v>
      </c>
      <c r="B355" s="130">
        <v>11</v>
      </c>
      <c r="C355" s="123">
        <f>VLOOKUP(A348,'KAVVV Records &amp; age-grading'!$A$3:$C$28,3,FALSE)</f>
        <v>1.7881944444444445E-4</v>
      </c>
      <c r="D355" s="121">
        <f t="shared" ref="D355:I355" si="233">$C355/D349</f>
        <v>1.8898694191972568E-4</v>
      </c>
      <c r="E355" s="121">
        <f t="shared" si="233"/>
        <v>1.9678600687184379E-4</v>
      </c>
      <c r="F355" s="121">
        <f t="shared" si="233"/>
        <v>1.8178249918109632E-4</v>
      </c>
      <c r="G355" s="121">
        <f t="shared" si="233"/>
        <v>1.8771724170107542E-4</v>
      </c>
      <c r="H355" s="121">
        <f t="shared" si="233"/>
        <v>1.9540973056982237E-4</v>
      </c>
      <c r="I355" s="121">
        <f t="shared" si="233"/>
        <v>2.0703883807391969E-4</v>
      </c>
      <c r="J355" s="121"/>
      <c r="K355" s="121"/>
      <c r="L355" s="121"/>
      <c r="M355" s="121"/>
      <c r="N355" s="121"/>
      <c r="O355" s="121"/>
      <c r="P355" s="122"/>
    </row>
    <row r="356" spans="1:16" x14ac:dyDescent="0.25">
      <c r="B356" s="129"/>
    </row>
    <row r="358" spans="1:16" x14ac:dyDescent="0.25">
      <c r="A358" t="s">
        <v>286</v>
      </c>
      <c r="B358" s="129"/>
      <c r="C358" s="15" t="s">
        <v>243</v>
      </c>
      <c r="D358" s="15" t="s">
        <v>233</v>
      </c>
      <c r="E358" s="15" t="s">
        <v>232</v>
      </c>
      <c r="F358" s="15" t="s">
        <v>234</v>
      </c>
      <c r="G358" s="15" t="s">
        <v>235</v>
      </c>
      <c r="H358" s="15" t="s">
        <v>236</v>
      </c>
      <c r="I358" s="15" t="s">
        <v>237</v>
      </c>
      <c r="J358" s="15" t="s">
        <v>238</v>
      </c>
      <c r="K358" s="15" t="s">
        <v>239</v>
      </c>
      <c r="L358" s="15" t="s">
        <v>240</v>
      </c>
      <c r="M358" s="15" t="s">
        <v>241</v>
      </c>
      <c r="N358" s="15" t="s">
        <v>242</v>
      </c>
      <c r="O358" s="15"/>
      <c r="P358" s="15"/>
    </row>
    <row r="359" spans="1:16" ht="14.4" x14ac:dyDescent="0.3">
      <c r="C359" s="123"/>
      <c r="D359" s="124">
        <f>VLOOKUP($A358,'KAVVV Records &amp; age-grading'!$A$3:$AF$28,20,FALSE)</f>
        <v>0.9536</v>
      </c>
      <c r="E359" s="124">
        <f>VLOOKUP($A358,'KAVVV Records &amp; age-grading'!$A$3:$AF$28,21,FALSE)</f>
        <v>0.92349999999999999</v>
      </c>
      <c r="F359" s="124">
        <f>VLOOKUP($A358,'KAVVV Records &amp; age-grading'!$A$3:$AF$28,22,FALSE)</f>
        <v>0.89339999999999997</v>
      </c>
      <c r="G359" s="124">
        <f>VLOOKUP($A358,'KAVVV Records &amp; age-grading'!$A$3:$AF$28,23,FALSE)</f>
        <v>0.86329999999999996</v>
      </c>
      <c r="H359" s="124">
        <f>VLOOKUP($A358,'KAVVV Records &amp; age-grading'!$A$3:$AF$28,24,FALSE)</f>
        <v>0.83320000000000005</v>
      </c>
      <c r="I359" s="124">
        <f>VLOOKUP($A358,'KAVVV Records &amp; age-grading'!$A$3:$AF$28,25,FALSE)</f>
        <v>0.80069999999999997</v>
      </c>
      <c r="J359" s="124">
        <f>VLOOKUP($A358,'KAVVV Records &amp; age-grading'!$A$3:$AF$28,26,FALSE)</f>
        <v>0.76419999999999999</v>
      </c>
      <c r="K359" s="124">
        <f>VLOOKUP($A358,'KAVVV Records &amp; age-grading'!$A$3:$AF$28,27,FALSE)</f>
        <v>0.72150000000000003</v>
      </c>
      <c r="L359" s="124">
        <f>VLOOKUP($A358,'KAVVV Records &amp; age-grading'!$A$3:$AF$28,28,FALSE)</f>
        <v>0.66969999999999996</v>
      </c>
      <c r="M359" s="124">
        <f>VLOOKUP($A358,'KAVVV Records &amp; age-grading'!$A$3:$AF$28,29,FALSE)</f>
        <v>0.60509999999999997</v>
      </c>
      <c r="N359" s="124">
        <f>VLOOKUP($A358,'KAVVV Records &amp; age-grading'!$A$3:$AF$28,30,FALSE)</f>
        <v>0.52310000000000001</v>
      </c>
      <c r="O359" s="124"/>
      <c r="P359" s="124"/>
    </row>
    <row r="360" spans="1:16" x14ac:dyDescent="0.25">
      <c r="A360" s="118">
        <f>Puntenberekening!$I$22</f>
        <v>0.3</v>
      </c>
      <c r="B360" s="130">
        <v>6</v>
      </c>
      <c r="C360" s="120">
        <f>C365*(1+$A360)</f>
        <v>4.4627314814814822E-4</v>
      </c>
      <c r="D360" s="121">
        <f t="shared" ref="D360:N360" si="234">$C360/D359</f>
        <v>4.6798778119562523E-4</v>
      </c>
      <c r="E360" s="121">
        <f t="shared" si="234"/>
        <v>4.8324109166014966E-4</v>
      </c>
      <c r="F360" s="121">
        <f t="shared" si="234"/>
        <v>4.9952221641834371E-4</v>
      </c>
      <c r="G360" s="121">
        <f t="shared" si="234"/>
        <v>5.1693866344045903E-4</v>
      </c>
      <c r="H360" s="121">
        <f t="shared" si="234"/>
        <v>5.3561347593392725E-4</v>
      </c>
      <c r="I360" s="121">
        <f t="shared" si="234"/>
        <v>5.5735375065336359E-4</v>
      </c>
      <c r="J360" s="121">
        <f t="shared" si="234"/>
        <v>5.8397428441265143E-4</v>
      </c>
      <c r="K360" s="121">
        <f t="shared" si="234"/>
        <v>6.1853520186853526E-4</v>
      </c>
      <c r="L360" s="121">
        <f t="shared" si="234"/>
        <v>6.6637770367052149E-4</v>
      </c>
      <c r="M360" s="122">
        <f t="shared" si="234"/>
        <v>7.3751966311047469E-4</v>
      </c>
      <c r="N360" s="122">
        <f t="shared" si="234"/>
        <v>8.5313161565312215E-4</v>
      </c>
      <c r="O360" s="121"/>
      <c r="P360" s="122"/>
    </row>
    <row r="361" spans="1:16" x14ac:dyDescent="0.25">
      <c r="A361" s="118">
        <f>Puntenberekening!$I$21</f>
        <v>0.22</v>
      </c>
      <c r="B361" s="130">
        <v>7</v>
      </c>
      <c r="C361" s="120">
        <f>C365*(1+$A361)</f>
        <v>4.188101851851852E-4</v>
      </c>
      <c r="D361" s="121">
        <f t="shared" ref="D361:N361" si="235">$C361/D359</f>
        <v>4.3918853312204821E-4</v>
      </c>
      <c r="E361" s="121">
        <f t="shared" si="235"/>
        <v>4.5350317832721732E-4</v>
      </c>
      <c r="F361" s="121">
        <f t="shared" si="235"/>
        <v>4.6878238771567629E-4</v>
      </c>
      <c r="G361" s="121">
        <f t="shared" si="235"/>
        <v>4.851270533825845E-4</v>
      </c>
      <c r="H361" s="121">
        <f t="shared" si="235"/>
        <v>5.0265264664568548E-4</v>
      </c>
      <c r="I361" s="121">
        <f t="shared" si="235"/>
        <v>5.2305505830546422E-4</v>
      </c>
      <c r="J361" s="121">
        <f t="shared" si="235"/>
        <v>5.4803740537187281E-4</v>
      </c>
      <c r="K361" s="121">
        <f t="shared" si="235"/>
        <v>5.804714971381638E-4</v>
      </c>
      <c r="L361" s="121">
        <f t="shared" si="235"/>
        <v>6.2536984498310472E-4</v>
      </c>
      <c r="M361" s="122">
        <f t="shared" si="235"/>
        <v>6.9213383768829161E-4</v>
      </c>
      <c r="N361" s="122">
        <f t="shared" si="235"/>
        <v>8.0063120853600682E-4</v>
      </c>
      <c r="O361" s="121"/>
      <c r="P361" s="122"/>
    </row>
    <row r="362" spans="1:16" x14ac:dyDescent="0.25">
      <c r="A362" s="118">
        <f>Puntenberekening!$I$20</f>
        <v>0.15</v>
      </c>
      <c r="B362" s="130">
        <v>8</v>
      </c>
      <c r="C362" s="120">
        <f>C365*(1+$A362)</f>
        <v>3.9478009259259262E-4</v>
      </c>
      <c r="D362" s="121">
        <f t="shared" ref="D362:N362" si="236">$C362/D359</f>
        <v>4.1398919105766846E-4</v>
      </c>
      <c r="E362" s="121">
        <f t="shared" si="236"/>
        <v>4.2748250416090158E-4</v>
      </c>
      <c r="F362" s="121">
        <f t="shared" si="236"/>
        <v>4.4188503760084246E-4</v>
      </c>
      <c r="G362" s="121">
        <f t="shared" si="236"/>
        <v>4.5729189458194446E-4</v>
      </c>
      <c r="H362" s="121">
        <f t="shared" si="236"/>
        <v>4.7381192101847409E-4</v>
      </c>
      <c r="I362" s="121">
        <f t="shared" si="236"/>
        <v>4.9304370250105242E-4</v>
      </c>
      <c r="J362" s="121">
        <f t="shared" si="236"/>
        <v>5.1659263621119166E-4</v>
      </c>
      <c r="K362" s="121">
        <f t="shared" si="236"/>
        <v>5.4716575549908881E-4</v>
      </c>
      <c r="L362" s="121">
        <f t="shared" si="236"/>
        <v>5.8948796863161511E-4</v>
      </c>
      <c r="M362" s="122">
        <f t="shared" si="236"/>
        <v>6.5242124044388142E-4</v>
      </c>
      <c r="N362" s="122">
        <f t="shared" si="236"/>
        <v>7.5469335230853106E-4</v>
      </c>
      <c r="O362" s="121"/>
      <c r="P362" s="122"/>
    </row>
    <row r="363" spans="1:16" x14ac:dyDescent="0.25">
      <c r="A363" s="118">
        <f>Puntenberekening!$I$19</f>
        <v>0.09</v>
      </c>
      <c r="B363" s="130">
        <v>9</v>
      </c>
      <c r="C363" s="120">
        <f>C365*(1+$A363)</f>
        <v>3.7418287037037042E-4</v>
      </c>
      <c r="D363" s="121">
        <f t="shared" ref="D363:N363" si="237">$C363/D359</f>
        <v>3.9238975500248576E-4</v>
      </c>
      <c r="E363" s="121">
        <f t="shared" si="237"/>
        <v>4.051790691612024E-4</v>
      </c>
      <c r="F363" s="121">
        <f t="shared" si="237"/>
        <v>4.1883016607384199E-4</v>
      </c>
      <c r="G363" s="121">
        <f t="shared" si="237"/>
        <v>4.3343318703853868E-4</v>
      </c>
      <c r="H363" s="121">
        <f t="shared" si="237"/>
        <v>4.4909129905229284E-4</v>
      </c>
      <c r="I363" s="121">
        <f t="shared" si="237"/>
        <v>4.6731968324012794E-4</v>
      </c>
      <c r="J363" s="121">
        <f t="shared" si="237"/>
        <v>4.8963997693060775E-4</v>
      </c>
      <c r="K363" s="121">
        <f t="shared" si="237"/>
        <v>5.1861797695131029E-4</v>
      </c>
      <c r="L363" s="121">
        <f t="shared" si="237"/>
        <v>5.5873207461605264E-4</v>
      </c>
      <c r="M363" s="122">
        <f t="shared" si="237"/>
        <v>6.1838187137724411E-4</v>
      </c>
      <c r="N363" s="122">
        <f t="shared" si="237"/>
        <v>7.1531804697069475E-4</v>
      </c>
      <c r="O363" s="121"/>
      <c r="P363" s="122"/>
    </row>
    <row r="364" spans="1:16" x14ac:dyDescent="0.25">
      <c r="A364" s="118">
        <f>Puntenberekening!$I$18</f>
        <v>0.04</v>
      </c>
      <c r="B364" s="130">
        <v>10</v>
      </c>
      <c r="C364" s="120">
        <f>C365*(1+$A364)</f>
        <v>3.5701851851851856E-4</v>
      </c>
      <c r="D364" s="121">
        <f t="shared" ref="D364:N364" si="238">$C364/D359</f>
        <v>3.7439022495650015E-4</v>
      </c>
      <c r="E364" s="121">
        <f t="shared" si="238"/>
        <v>3.8659287332811973E-4</v>
      </c>
      <c r="F364" s="121">
        <f t="shared" si="238"/>
        <v>3.9961777313467494E-4</v>
      </c>
      <c r="G364" s="121">
        <f t="shared" si="238"/>
        <v>4.1355093075236716E-4</v>
      </c>
      <c r="H364" s="121">
        <f t="shared" si="238"/>
        <v>4.2849078074714181E-4</v>
      </c>
      <c r="I364" s="121">
        <f t="shared" si="238"/>
        <v>4.4588300052269089E-4</v>
      </c>
      <c r="J364" s="121">
        <f t="shared" si="238"/>
        <v>4.6717942753012114E-4</v>
      </c>
      <c r="K364" s="121">
        <f t="shared" si="238"/>
        <v>4.9482816149482814E-4</v>
      </c>
      <c r="L364" s="121">
        <f t="shared" si="238"/>
        <v>5.3310216293641721E-4</v>
      </c>
      <c r="M364" s="122">
        <f t="shared" si="238"/>
        <v>5.9001573048837969E-4</v>
      </c>
      <c r="N364" s="122">
        <f t="shared" si="238"/>
        <v>6.8250529252249768E-4</v>
      </c>
      <c r="O364" s="121"/>
      <c r="P364" s="122"/>
    </row>
    <row r="365" spans="1:16" x14ac:dyDescent="0.25">
      <c r="A365" s="118">
        <f>Puntenberekening!$I$17</f>
        <v>0</v>
      </c>
      <c r="B365" s="130">
        <v>11</v>
      </c>
      <c r="C365" s="123">
        <f>VLOOKUP(A358,'KAVVV Records &amp; age-grading'!$A$3:$C$28,3,FALSE)</f>
        <v>3.4328703703703707E-4</v>
      </c>
      <c r="D365" s="121">
        <f t="shared" ref="D365:N365" si="239">$C365/D359</f>
        <v>3.599906009197117E-4</v>
      </c>
      <c r="E365" s="121">
        <f t="shared" si="239"/>
        <v>3.7172391666165356E-4</v>
      </c>
      <c r="F365" s="121">
        <f t="shared" si="239"/>
        <v>3.8424785878334126E-4</v>
      </c>
      <c r="G365" s="121">
        <f t="shared" si="239"/>
        <v>3.9764512572342995E-4</v>
      </c>
      <c r="H365" s="121">
        <f t="shared" si="239"/>
        <v>4.1201036610302093E-4</v>
      </c>
      <c r="I365" s="121">
        <f t="shared" si="239"/>
        <v>4.287336543487412E-4</v>
      </c>
      <c r="J365" s="121">
        <f t="shared" si="239"/>
        <v>4.4921098800973183E-4</v>
      </c>
      <c r="K365" s="121">
        <f t="shared" si="239"/>
        <v>4.7579630912964252E-4</v>
      </c>
      <c r="L365" s="121">
        <f t="shared" si="239"/>
        <v>5.1259823359270883E-4</v>
      </c>
      <c r="M365" s="122">
        <f t="shared" si="239"/>
        <v>5.6732281777728815E-4</v>
      </c>
      <c r="N365" s="122">
        <f t="shared" si="239"/>
        <v>6.5625508896394007E-4</v>
      </c>
      <c r="O365" s="121"/>
      <c r="P365" s="122"/>
    </row>
    <row r="366" spans="1:16" x14ac:dyDescent="0.25">
      <c r="B366" s="129"/>
    </row>
    <row r="367" spans="1:16" x14ac:dyDescent="0.25">
      <c r="A367" t="s">
        <v>287</v>
      </c>
      <c r="B367" s="129"/>
      <c r="C367" s="15" t="s">
        <v>243</v>
      </c>
      <c r="D367" s="15" t="s">
        <v>233</v>
      </c>
      <c r="E367" s="15" t="s">
        <v>232</v>
      </c>
      <c r="F367" s="15" t="s">
        <v>234</v>
      </c>
      <c r="G367" s="15" t="s">
        <v>235</v>
      </c>
      <c r="H367" s="15" t="s">
        <v>236</v>
      </c>
      <c r="I367" s="15" t="s">
        <v>237</v>
      </c>
      <c r="J367" s="15" t="s">
        <v>238</v>
      </c>
      <c r="K367" s="15" t="s">
        <v>239</v>
      </c>
      <c r="L367" s="15" t="s">
        <v>240</v>
      </c>
      <c r="M367" s="15" t="s">
        <v>241</v>
      </c>
      <c r="N367" s="15" t="s">
        <v>242</v>
      </c>
      <c r="O367" s="15"/>
      <c r="P367" s="15"/>
    </row>
    <row r="368" spans="1:16" ht="14.4" x14ac:dyDescent="0.3">
      <c r="C368" s="123"/>
      <c r="D368" s="124">
        <f>VLOOKUP($A367,'KAVVV Records &amp; age-grading'!$A$3:$AF$28,20,FALSE)</f>
        <v>0</v>
      </c>
      <c r="E368" s="124">
        <f>VLOOKUP($A367,'KAVVV Records &amp; age-grading'!$A$3:$AF$28,21,FALSE)</f>
        <v>0</v>
      </c>
      <c r="F368" s="124">
        <f>VLOOKUP($A367,'KAVVV Records &amp; age-grading'!$A$3:$AF$28,22,FALSE)</f>
        <v>0</v>
      </c>
      <c r="G368" s="124">
        <f>VLOOKUP($A367,'KAVVV Records &amp; age-grading'!$A$3:$AF$28,23,FALSE)</f>
        <v>0</v>
      </c>
      <c r="H368" s="124">
        <f>VLOOKUP($A367,'KAVVV Records &amp; age-grading'!$A$3:$AF$28,24,FALSE)</f>
        <v>0.85680000000000001</v>
      </c>
      <c r="I368" s="124">
        <f>VLOOKUP($A367,'KAVVV Records &amp; age-grading'!$A$3:$AF$28,25,FALSE)</f>
        <v>0.78520000000000001</v>
      </c>
      <c r="J368" s="124">
        <f>VLOOKUP($A367,'KAVVV Records &amp; age-grading'!$A$3:$AF$28,26,FALSE)</f>
        <v>0.7046</v>
      </c>
      <c r="K368" s="124">
        <f>VLOOKUP($A367,'KAVVV Records &amp; age-grading'!$A$3:$AF$28,27,FALSE)</f>
        <v>0.61460000000000004</v>
      </c>
      <c r="L368" s="124">
        <f>VLOOKUP($A367,'KAVVV Records &amp; age-grading'!$A$3:$AF$28,28,FALSE)</f>
        <v>0</v>
      </c>
      <c r="M368" s="124">
        <f>VLOOKUP($A367,'KAVVV Records &amp; age-grading'!$A$3:$AF$28,29,FALSE)</f>
        <v>0</v>
      </c>
      <c r="N368" s="124">
        <f>VLOOKUP($A367,'KAVVV Records &amp; age-grading'!$A$3:$AF$28,30,FALSE)</f>
        <v>0</v>
      </c>
      <c r="O368" s="124"/>
      <c r="P368" s="124"/>
    </row>
    <row r="369" spans="1:16" x14ac:dyDescent="0.25">
      <c r="A369" s="118">
        <f>Puntenberekening!$I$22</f>
        <v>0.3</v>
      </c>
      <c r="B369" s="130">
        <v>6</v>
      </c>
      <c r="C369" s="120">
        <f>C374*(1+$A369)</f>
        <v>6.6203703703703704E-4</v>
      </c>
      <c r="D369" s="121"/>
      <c r="E369" s="121"/>
      <c r="F369" s="121"/>
      <c r="G369" s="121"/>
      <c r="H369" s="122">
        <f>$C369/H368</f>
        <v>7.7268561745685925E-4</v>
      </c>
      <c r="I369" s="122">
        <f>$C369/I368</f>
        <v>8.4314446897228352E-4</v>
      </c>
      <c r="J369" s="122">
        <f>$C369/J368</f>
        <v>9.395927292606259E-4</v>
      </c>
      <c r="K369" s="122">
        <f>$C369/K368</f>
        <v>1.0771835942678767E-3</v>
      </c>
      <c r="L369" s="121"/>
      <c r="M369" s="122"/>
      <c r="N369" s="122"/>
      <c r="O369" s="121"/>
      <c r="P369" s="122"/>
    </row>
    <row r="370" spans="1:16" x14ac:dyDescent="0.25">
      <c r="A370" s="118">
        <f>Puntenberekening!$I$21</f>
        <v>0.22</v>
      </c>
      <c r="B370" s="130">
        <v>7</v>
      </c>
      <c r="C370" s="120">
        <f>C374*(1+$A370)</f>
        <v>6.2129629629629622E-4</v>
      </c>
      <c r="D370" s="121"/>
      <c r="E370" s="121"/>
      <c r="F370" s="121"/>
      <c r="G370" s="121"/>
      <c r="H370" s="122">
        <f>$C370/H368</f>
        <v>7.2513573330566783E-4</v>
      </c>
      <c r="I370" s="122">
        <f>$C370/I368</f>
        <v>7.91258655497066E-4</v>
      </c>
      <c r="J370" s="122">
        <f>$C370/J368</f>
        <v>8.8177163822920272E-4</v>
      </c>
      <c r="K370" s="122">
        <f>$C370/K368</f>
        <v>1.010895373082161E-3</v>
      </c>
      <c r="L370" s="121"/>
      <c r="M370" s="122"/>
      <c r="N370" s="122"/>
      <c r="O370" s="121"/>
      <c r="P370" s="122"/>
    </row>
    <row r="371" spans="1:16" x14ac:dyDescent="0.25">
      <c r="A371" s="118">
        <f>Puntenberekening!$I$20</f>
        <v>0.15</v>
      </c>
      <c r="B371" s="130">
        <v>8</v>
      </c>
      <c r="C371" s="120">
        <f>C374*(1+$A371)</f>
        <v>5.8564814814814807E-4</v>
      </c>
      <c r="D371" s="121"/>
      <c r="E371" s="121"/>
      <c r="F371" s="121"/>
      <c r="G371" s="121"/>
      <c r="H371" s="122">
        <f>$C371/H368</f>
        <v>6.8352958467337546E-4</v>
      </c>
      <c r="I371" s="122">
        <f>$C371/I368</f>
        <v>7.4585856870625067E-4</v>
      </c>
      <c r="J371" s="122">
        <f>$C371/J368</f>
        <v>8.3117818357670745E-4</v>
      </c>
      <c r="K371" s="122">
        <f>$C371/K368</f>
        <v>9.5289317954465997E-4</v>
      </c>
      <c r="L371" s="121"/>
      <c r="M371" s="122"/>
      <c r="N371" s="122"/>
      <c r="O371" s="121"/>
      <c r="P371" s="122"/>
    </row>
    <row r="372" spans="1:16" x14ac:dyDescent="0.25">
      <c r="A372" s="118">
        <f>Puntenberekening!$I$19</f>
        <v>0.09</v>
      </c>
      <c r="B372" s="130">
        <v>9</v>
      </c>
      <c r="C372" s="120">
        <f>C374*(1+$A372)</f>
        <v>5.5509259259259259E-4</v>
      </c>
      <c r="D372" s="121"/>
      <c r="E372" s="121"/>
      <c r="F372" s="121"/>
      <c r="G372" s="121"/>
      <c r="H372" s="122">
        <f>$C372/H368</f>
        <v>6.4786717155998204E-4</v>
      </c>
      <c r="I372" s="122">
        <f>$C372/I368</f>
        <v>7.0694420859983775E-4</v>
      </c>
      <c r="J372" s="122">
        <f>$C372/J368</f>
        <v>7.8781236530314021E-4</v>
      </c>
      <c r="K372" s="122">
        <f>$C372/K368</f>
        <v>9.0317701365537351E-4</v>
      </c>
      <c r="L372" s="121"/>
      <c r="M372" s="122"/>
      <c r="N372" s="122"/>
      <c r="O372" s="121"/>
      <c r="P372" s="122"/>
    </row>
    <row r="373" spans="1:16" x14ac:dyDescent="0.25">
      <c r="A373" s="118">
        <f>Puntenberekening!$I$18</f>
        <v>0.04</v>
      </c>
      <c r="B373" s="130">
        <v>10</v>
      </c>
      <c r="C373" s="120">
        <f>C374*(1+$A373)</f>
        <v>5.2962962962962957E-4</v>
      </c>
      <c r="D373" s="121"/>
      <c r="E373" s="121"/>
      <c r="F373" s="121"/>
      <c r="G373" s="121"/>
      <c r="H373" s="122">
        <f>$C373/H368</f>
        <v>6.1814849396548733E-4</v>
      </c>
      <c r="I373" s="122">
        <f>$C373/I368</f>
        <v>6.745155751778268E-4</v>
      </c>
      <c r="J373" s="122">
        <f>$C373/J368</f>
        <v>7.5167418340850065E-4</v>
      </c>
      <c r="K373" s="122">
        <f>$C373/K368</f>
        <v>8.617468754143012E-4</v>
      </c>
      <c r="L373" s="121"/>
      <c r="M373" s="122"/>
      <c r="N373" s="122"/>
      <c r="O373" s="121"/>
      <c r="P373" s="122"/>
    </row>
    <row r="374" spans="1:16" x14ac:dyDescent="0.25">
      <c r="A374" s="118">
        <f>Puntenberekening!$I$17</f>
        <v>0</v>
      </c>
      <c r="B374" s="130">
        <v>11</v>
      </c>
      <c r="C374" s="123">
        <f>VLOOKUP(A367,'KAVVV Records &amp; age-grading'!$A$3:$C$28,3,FALSE)</f>
        <v>5.0925925925925921E-4</v>
      </c>
      <c r="D374" s="121"/>
      <c r="E374" s="121"/>
      <c r="F374" s="121"/>
      <c r="G374" s="121"/>
      <c r="H374" s="122">
        <f>$C374/H368</f>
        <v>5.9437355188989168E-4</v>
      </c>
      <c r="I374" s="122">
        <f>$C374/I368</f>
        <v>6.4857266844021804E-4</v>
      </c>
      <c r="J374" s="122">
        <f>$C374/J368</f>
        <v>7.2276363789278912E-4</v>
      </c>
      <c r="K374" s="122">
        <f>$C374/K368</f>
        <v>8.2860276482144349E-4</v>
      </c>
      <c r="L374" s="121"/>
      <c r="M374" s="122"/>
      <c r="N374" s="122"/>
      <c r="O374" s="121"/>
      <c r="P374" s="122"/>
    </row>
    <row r="375" spans="1:16" x14ac:dyDescent="0.25">
      <c r="B375" s="129"/>
    </row>
    <row r="376" spans="1:16" x14ac:dyDescent="0.25">
      <c r="A376" t="s">
        <v>255</v>
      </c>
      <c r="B376" s="129"/>
      <c r="C376" s="15" t="s">
        <v>243</v>
      </c>
      <c r="D376" s="15" t="s">
        <v>233</v>
      </c>
      <c r="E376" s="15" t="s">
        <v>232</v>
      </c>
      <c r="F376" s="15" t="s">
        <v>234</v>
      </c>
      <c r="G376" s="15" t="s">
        <v>235</v>
      </c>
      <c r="H376" s="15" t="s">
        <v>236</v>
      </c>
      <c r="I376" s="15" t="s">
        <v>237</v>
      </c>
      <c r="J376" s="15" t="s">
        <v>238</v>
      </c>
      <c r="K376" s="15" t="s">
        <v>239</v>
      </c>
      <c r="L376" s="15" t="s">
        <v>240</v>
      </c>
      <c r="M376" s="15" t="s">
        <v>241</v>
      </c>
      <c r="N376" s="15" t="s">
        <v>242</v>
      </c>
      <c r="O376" s="15"/>
      <c r="P376" s="15"/>
    </row>
    <row r="377" spans="1:16" ht="14.4" x14ac:dyDescent="0.3">
      <c r="C377" s="123"/>
      <c r="D377" s="124">
        <f>VLOOKUP($A376,'KAVVV Records &amp; age-grading'!$A$3:$AF$28,20,FALSE)</f>
        <v>0.95720000000000005</v>
      </c>
      <c r="E377" s="124">
        <f>VLOOKUP($A376,'KAVVV Records &amp; age-grading'!$A$3:$AF$28,21,FALSE)</f>
        <v>0.91439999999999999</v>
      </c>
      <c r="F377" s="124">
        <f>VLOOKUP($A376,'KAVVV Records &amp; age-grading'!$A$3:$AF$28,22,FALSE)</f>
        <v>0.87160000000000004</v>
      </c>
      <c r="G377" s="124">
        <f>VLOOKUP($A376,'KAVVV Records &amp; age-grading'!$A$3:$AF$28,23,FALSE)</f>
        <v>0.82879999999999998</v>
      </c>
      <c r="H377" s="124">
        <f>VLOOKUP($A376,'KAVVV Records &amp; age-grading'!$A$3:$AF$28,24,FALSE)</f>
        <v>0</v>
      </c>
      <c r="I377" s="124">
        <f>VLOOKUP($A376,'KAVVV Records &amp; age-grading'!$A$3:$AF$28,25,FALSE)</f>
        <v>0</v>
      </c>
      <c r="J377" s="124">
        <f>VLOOKUP($A376,'KAVVV Records &amp; age-grading'!$A$3:$AF$28,26,FALSE)</f>
        <v>0</v>
      </c>
      <c r="K377" s="124">
        <f>VLOOKUP($A376,'KAVVV Records &amp; age-grading'!$A$3:$AF$28,27,FALSE)</f>
        <v>0</v>
      </c>
      <c r="L377" s="124">
        <f>VLOOKUP($A376,'KAVVV Records &amp; age-grading'!$A$3:$AF$28,28,FALSE)</f>
        <v>0</v>
      </c>
      <c r="M377" s="124">
        <f>VLOOKUP($A376,'KAVVV Records &amp; age-grading'!$A$3:$AF$28,29,FALSE)</f>
        <v>0</v>
      </c>
      <c r="N377" s="124">
        <f>VLOOKUP($A376,'KAVVV Records &amp; age-grading'!$A$3:$AF$28,30,FALSE)</f>
        <v>0</v>
      </c>
      <c r="O377" s="124"/>
      <c r="P377" s="124"/>
    </row>
    <row r="378" spans="1:16" x14ac:dyDescent="0.25">
      <c r="A378" s="118">
        <f>Puntenberekening!$I$22</f>
        <v>0.3</v>
      </c>
      <c r="B378" s="130">
        <v>6</v>
      </c>
      <c r="C378" s="120">
        <f>C383*(1+$A378)</f>
        <v>8.7704861111111121E-4</v>
      </c>
      <c r="D378" s="122">
        <f>$C378/D377</f>
        <v>9.1626474207178355E-4</v>
      </c>
      <c r="E378" s="122">
        <f>$C378/E377</f>
        <v>9.5915202439972791E-4</v>
      </c>
      <c r="F378" s="122">
        <f>$C378/F377</f>
        <v>1.006251274794758E-3</v>
      </c>
      <c r="G378" s="122">
        <f>$C378/G377</f>
        <v>1.0582150230587731E-3</v>
      </c>
      <c r="H378" s="121"/>
      <c r="I378" s="121"/>
      <c r="J378" s="121"/>
      <c r="K378" s="121"/>
      <c r="L378" s="121"/>
      <c r="M378" s="122"/>
      <c r="N378" s="122"/>
      <c r="O378" s="121"/>
      <c r="P378" s="122"/>
    </row>
    <row r="379" spans="1:16" x14ac:dyDescent="0.25">
      <c r="A379" s="118">
        <f>Puntenberekening!$I$21</f>
        <v>0.22</v>
      </c>
      <c r="B379" s="130">
        <v>7</v>
      </c>
      <c r="C379" s="120">
        <f>C383*(1+$A379)</f>
        <v>8.2307638888888892E-4</v>
      </c>
      <c r="D379" s="122">
        <f>$C379/D377</f>
        <v>8.5987921948275058E-4</v>
      </c>
      <c r="E379" s="122">
        <f>$C379/E377</f>
        <v>9.0012728443666771E-4</v>
      </c>
      <c r="F379" s="122">
        <f>$C379/F377</f>
        <v>9.4432811942277292E-4</v>
      </c>
      <c r="G379" s="122">
        <f>$C379/G377</f>
        <v>9.9309409856284856E-4</v>
      </c>
      <c r="H379" s="121"/>
      <c r="I379" s="121"/>
      <c r="J379" s="121"/>
      <c r="K379" s="121"/>
      <c r="L379" s="121"/>
      <c r="M379" s="122"/>
      <c r="N379" s="122"/>
      <c r="O379" s="121"/>
      <c r="P379" s="122"/>
    </row>
    <row r="380" spans="1:16" x14ac:dyDescent="0.25">
      <c r="A380" s="118">
        <f>Puntenberekening!$I$20</f>
        <v>0.15</v>
      </c>
      <c r="B380" s="130">
        <v>8</v>
      </c>
      <c r="C380" s="120">
        <f>C383*(1+$A380)</f>
        <v>7.7585069444444446E-4</v>
      </c>
      <c r="D380" s="122">
        <f>$C380/D377</f>
        <v>8.1054188721734692E-4</v>
      </c>
      <c r="E380" s="122">
        <f>$C380/E377</f>
        <v>8.4848063696899001E-4</v>
      </c>
      <c r="F380" s="122">
        <f>$C380/F377</f>
        <v>8.9014535847228599E-4</v>
      </c>
      <c r="G380" s="122">
        <f>$C380/G377</f>
        <v>9.3611328962891463E-4</v>
      </c>
      <c r="H380" s="121"/>
      <c r="I380" s="121"/>
      <c r="J380" s="121"/>
      <c r="K380" s="121"/>
      <c r="L380" s="121"/>
      <c r="M380" s="122"/>
      <c r="N380" s="122"/>
      <c r="O380" s="121"/>
      <c r="P380" s="122"/>
    </row>
    <row r="381" spans="1:16" x14ac:dyDescent="0.25">
      <c r="A381" s="118">
        <f>Puntenberekening!$I$19</f>
        <v>0.09</v>
      </c>
      <c r="B381" s="130">
        <v>9</v>
      </c>
      <c r="C381" s="120">
        <f>C383*(1+$A381)</f>
        <v>7.3537152777777782E-4</v>
      </c>
      <c r="D381" s="122">
        <f>$C381/D377</f>
        <v>7.6825274527557224E-4</v>
      </c>
      <c r="E381" s="122">
        <f>$C381/E377</f>
        <v>8.0421208199669492E-4</v>
      </c>
      <c r="F381" s="122">
        <f>$C381/F377</f>
        <v>8.4370299194329714E-4</v>
      </c>
      <c r="G381" s="122">
        <f>$C381/G377</f>
        <v>8.8727259625697135E-4</v>
      </c>
      <c r="H381" s="121"/>
      <c r="I381" s="121"/>
      <c r="J381" s="121"/>
      <c r="K381" s="121"/>
      <c r="L381" s="121"/>
      <c r="M381" s="122"/>
      <c r="N381" s="122"/>
      <c r="O381" s="121"/>
      <c r="P381" s="122"/>
    </row>
    <row r="382" spans="1:16" x14ac:dyDescent="0.25">
      <c r="A382" s="118">
        <f>Puntenberekening!$I$18</f>
        <v>0.04</v>
      </c>
      <c r="B382" s="130">
        <v>10</v>
      </c>
      <c r="C382" s="120">
        <f>C383*(1+$A382)</f>
        <v>7.0163888888888891E-4</v>
      </c>
      <c r="D382" s="122">
        <f>$C382/D377</f>
        <v>7.3301179365742677E-4</v>
      </c>
      <c r="E382" s="122">
        <f>$C382/E377</f>
        <v>7.6732161951978232E-4</v>
      </c>
      <c r="F382" s="122">
        <f>$C382/F377</f>
        <v>8.0500101983580646E-4</v>
      </c>
      <c r="G382" s="122">
        <f>$C382/G377</f>
        <v>8.4657201844701852E-4</v>
      </c>
      <c r="H382" s="121"/>
      <c r="I382" s="121"/>
      <c r="J382" s="121"/>
      <c r="K382" s="121"/>
      <c r="L382" s="121"/>
      <c r="M382" s="122"/>
      <c r="N382" s="122"/>
      <c r="O382" s="121"/>
      <c r="P382" s="122"/>
    </row>
    <row r="383" spans="1:16" x14ac:dyDescent="0.25">
      <c r="A383" s="118">
        <f>Puntenberekening!$I$17</f>
        <v>0</v>
      </c>
      <c r="B383" s="130">
        <v>11</v>
      </c>
      <c r="C383" s="123">
        <f>VLOOKUP(A376,'KAVVV Records &amp; age-grading'!$A$3:$C$28,3,FALSE)</f>
        <v>6.7465277777777782E-4</v>
      </c>
      <c r="D383" s="122">
        <f>$C383/D377</f>
        <v>7.048190323629104E-4</v>
      </c>
      <c r="E383" s="122">
        <f>$C383/E377</f>
        <v>7.3780924953825223E-4</v>
      </c>
      <c r="F383" s="122">
        <f>$C383/F377</f>
        <v>7.7403944214981385E-4</v>
      </c>
      <c r="G383" s="122">
        <f>$C383/G377</f>
        <v>8.1401155619905622E-4</v>
      </c>
      <c r="H383" s="121"/>
      <c r="I383" s="121"/>
      <c r="J383" s="121"/>
      <c r="K383" s="121"/>
      <c r="L383" s="121"/>
      <c r="M383" s="122"/>
      <c r="N383" s="122"/>
      <c r="O383" s="121"/>
      <c r="P383" s="122"/>
    </row>
    <row r="384" spans="1:16" x14ac:dyDescent="0.25">
      <c r="B384" s="129"/>
    </row>
    <row r="385" spans="1:16" x14ac:dyDescent="0.25">
      <c r="A385" t="s">
        <v>304</v>
      </c>
      <c r="B385" s="129"/>
      <c r="C385" s="15" t="s">
        <v>243</v>
      </c>
      <c r="D385" s="15" t="s">
        <v>233</v>
      </c>
      <c r="E385" s="15" t="s">
        <v>232</v>
      </c>
      <c r="F385" s="15" t="s">
        <v>234</v>
      </c>
      <c r="G385" s="15" t="s">
        <v>235</v>
      </c>
      <c r="H385" s="15" t="s">
        <v>236</v>
      </c>
      <c r="I385" s="15" t="s">
        <v>237</v>
      </c>
      <c r="J385" s="15" t="s">
        <v>238</v>
      </c>
      <c r="K385" s="15" t="s">
        <v>239</v>
      </c>
      <c r="L385" s="15" t="s">
        <v>240</v>
      </c>
      <c r="M385" s="15" t="s">
        <v>241</v>
      </c>
      <c r="N385" s="15" t="s">
        <v>242</v>
      </c>
      <c r="O385" s="121"/>
      <c r="P385" s="122"/>
    </row>
    <row r="386" spans="1:16" ht="14.4" x14ac:dyDescent="0.3">
      <c r="C386" s="123"/>
      <c r="D386" s="124">
        <f>VLOOKUP($A385,'KAVVV Records &amp; age-grading'!$A$3:$AF$28,20,FALSE)</f>
        <v>0.95389999999999997</v>
      </c>
      <c r="E386" s="124">
        <f>VLOOKUP($A385,'KAVVV Records &amp; age-grading'!$A$3:$AF$28,21,FALSE)</f>
        <v>0.90780000000000005</v>
      </c>
      <c r="F386" s="124">
        <f>VLOOKUP($A385,'KAVVV Records &amp; age-grading'!$A$3:$AF$28,22,FALSE)</f>
        <v>0.86170000000000002</v>
      </c>
      <c r="G386" s="124">
        <f>VLOOKUP($A385,'KAVVV Records &amp; age-grading'!$A$3:$AF$28,23,FALSE)</f>
        <v>0.81559999999999999</v>
      </c>
      <c r="H386" s="124">
        <f>VLOOKUP($A385,'KAVVV Records &amp; age-grading'!$A$3:$AF$28,24,FALSE)</f>
        <v>1.2434000000000001</v>
      </c>
      <c r="I386" s="124">
        <f>VLOOKUP($A385,'KAVVV Records &amp; age-grading'!$A$3:$AF$28,25,FALSE)</f>
        <v>1.1572</v>
      </c>
      <c r="J386" s="124">
        <f>VLOOKUP($A385,'KAVVV Records &amp; age-grading'!$A$3:$AF$28,26,FALSE)</f>
        <v>1.0645</v>
      </c>
      <c r="K386" s="124">
        <f>VLOOKUP($A385,'KAVVV Records &amp; age-grading'!$A$3:$AF$28,27,FALSE)</f>
        <v>0.96430000000000005</v>
      </c>
      <c r="L386" s="124">
        <f>VLOOKUP($A385,'KAVVV Records &amp; age-grading'!$A$3:$AF$28,28,FALSE)</f>
        <v>0.85460000000000003</v>
      </c>
      <c r="M386" s="124">
        <f>VLOOKUP($A385,'KAVVV Records &amp; age-grading'!$A$3:$AF$28,29,FALSE)</f>
        <v>0.73240000000000005</v>
      </c>
      <c r="N386" s="124">
        <f>VLOOKUP($A385,'KAVVV Records &amp; age-grading'!$A$3:$AF$28,30,FALSE)</f>
        <v>0.60719999999999996</v>
      </c>
      <c r="O386" s="116"/>
    </row>
    <row r="387" spans="1:16" x14ac:dyDescent="0.25">
      <c r="A387" s="118">
        <f>Puntenberekening!$I$22</f>
        <v>0.3</v>
      </c>
      <c r="B387" s="130">
        <v>6</v>
      </c>
      <c r="C387" s="126">
        <f>C392*(1+$A387)</f>
        <v>8.6606481481481482E-3</v>
      </c>
      <c r="D387" s="122">
        <f t="shared" ref="D387:N387" si="240">$C387/D386</f>
        <v>9.0791992327792729E-3</v>
      </c>
      <c r="E387" s="122">
        <f t="shared" si="240"/>
        <v>9.5402601323509011E-3</v>
      </c>
      <c r="F387" s="122">
        <f t="shared" si="240"/>
        <v>1.0050653531563361E-2</v>
      </c>
      <c r="G387" s="122">
        <f t="shared" si="240"/>
        <v>1.0618744664232649E-2</v>
      </c>
      <c r="H387" s="122">
        <f t="shared" si="240"/>
        <v>6.9652952775841629E-3</v>
      </c>
      <c r="I387" s="122">
        <f t="shared" si="240"/>
        <v>7.4841411580955312E-3</v>
      </c>
      <c r="J387" s="122">
        <f t="shared" si="240"/>
        <v>8.1358836525581481E-3</v>
      </c>
      <c r="K387" s="122">
        <f t="shared" si="240"/>
        <v>8.9812798383782522E-3</v>
      </c>
      <c r="L387" s="122">
        <f t="shared" si="240"/>
        <v>1.0134154163524629E-2</v>
      </c>
      <c r="M387" s="122">
        <f t="shared" si="240"/>
        <v>1.1825024779011671E-2</v>
      </c>
      <c r="N387" s="122">
        <f t="shared" si="240"/>
        <v>1.4263254525935687E-2</v>
      </c>
      <c r="O387" s="116"/>
    </row>
    <row r="388" spans="1:16" x14ac:dyDescent="0.25">
      <c r="A388" s="118">
        <f>Puntenberekening!$I$21</f>
        <v>0.22</v>
      </c>
      <c r="B388" s="130">
        <v>7</v>
      </c>
      <c r="C388" s="126">
        <f>C392*(1+$A388)</f>
        <v>8.127685185185184E-3</v>
      </c>
      <c r="D388" s="122">
        <f t="shared" ref="D388:N388" si="241">$C388/D386</f>
        <v>8.5204792799928545E-3</v>
      </c>
      <c r="E388" s="122">
        <f t="shared" si="241"/>
        <v>8.9531672011293056E-3</v>
      </c>
      <c r="F388" s="122">
        <f t="shared" si="241"/>
        <v>9.4321517757748451E-3</v>
      </c>
      <c r="G388" s="122">
        <f t="shared" si="241"/>
        <v>9.9652834541260234E-3</v>
      </c>
      <c r="H388" s="122">
        <f t="shared" si="241"/>
        <v>6.5366617220405212E-3</v>
      </c>
      <c r="I388" s="122">
        <f t="shared" si="241"/>
        <v>7.0235786252896507E-3</v>
      </c>
      <c r="J388" s="122">
        <f t="shared" si="241"/>
        <v>7.6352138893237987E-3</v>
      </c>
      <c r="K388" s="122">
        <f t="shared" si="241"/>
        <v>8.4285856944780503E-3</v>
      </c>
      <c r="L388" s="122">
        <f t="shared" si="241"/>
        <v>9.5105139073077272E-3</v>
      </c>
      <c r="M388" s="122">
        <f t="shared" si="241"/>
        <v>1.1097330946457104E-2</v>
      </c>
      <c r="N388" s="122">
        <f t="shared" si="241"/>
        <v>1.3385515785878103E-2</v>
      </c>
      <c r="O388" s="116"/>
    </row>
    <row r="389" spans="1:16" x14ac:dyDescent="0.25">
      <c r="A389" s="118">
        <f>Puntenberekening!$I$20</f>
        <v>0.15</v>
      </c>
      <c r="B389" s="130">
        <v>8</v>
      </c>
      <c r="C389" s="126">
        <f>C392*(1+$A389)</f>
        <v>7.6613425925925911E-3</v>
      </c>
      <c r="D389" s="122">
        <f t="shared" ref="D389:N389" si="242">$C389/D386</f>
        <v>8.0315993213047401E-3</v>
      </c>
      <c r="E389" s="122">
        <f t="shared" si="242"/>
        <v>8.4394608863104098E-3</v>
      </c>
      <c r="F389" s="122">
        <f t="shared" si="242"/>
        <v>8.8909627394598949E-3</v>
      </c>
      <c r="G389" s="122">
        <f t="shared" si="242"/>
        <v>9.3935048952827251E-3</v>
      </c>
      <c r="H389" s="122">
        <f t="shared" si="242"/>
        <v>6.1616073609398348E-3</v>
      </c>
      <c r="I389" s="122">
        <f t="shared" si="242"/>
        <v>6.6205864090845062E-3</v>
      </c>
      <c r="J389" s="122">
        <f t="shared" si="242"/>
        <v>7.1971278464937442E-3</v>
      </c>
      <c r="K389" s="122">
        <f t="shared" si="242"/>
        <v>7.9449783185653738E-3</v>
      </c>
      <c r="L389" s="122">
        <f t="shared" si="242"/>
        <v>8.96482868311794E-3</v>
      </c>
      <c r="M389" s="122">
        <f t="shared" si="242"/>
        <v>1.046059884297186E-2</v>
      </c>
      <c r="N389" s="122">
        <f t="shared" si="242"/>
        <v>1.2617494388327721E-2</v>
      </c>
      <c r="O389" s="116"/>
    </row>
    <row r="390" spans="1:16" x14ac:dyDescent="0.25">
      <c r="A390" s="118">
        <f>Puntenberekening!$I$19</f>
        <v>0.09</v>
      </c>
      <c r="B390" s="130">
        <v>9</v>
      </c>
      <c r="C390" s="126">
        <f>C392*(1+$A390)</f>
        <v>7.2616203703703705E-3</v>
      </c>
      <c r="D390" s="122">
        <f t="shared" ref="D390:N390" si="243">$C390/D386</f>
        <v>7.6125593567149289E-3</v>
      </c>
      <c r="E390" s="122">
        <f t="shared" si="243"/>
        <v>7.9991411878942171E-3</v>
      </c>
      <c r="F390" s="122">
        <f t="shared" si="243"/>
        <v>8.4270864226185099E-3</v>
      </c>
      <c r="G390" s="122">
        <f t="shared" si="243"/>
        <v>8.9034089877027597E-3</v>
      </c>
      <c r="H390" s="122">
        <f t="shared" si="243"/>
        <v>5.8401321942821056E-3</v>
      </c>
      <c r="I390" s="122">
        <f t="shared" si="243"/>
        <v>6.2751645094800993E-3</v>
      </c>
      <c r="J390" s="122">
        <f t="shared" si="243"/>
        <v>6.8216255240679856E-3</v>
      </c>
      <c r="K390" s="122">
        <f t="shared" si="243"/>
        <v>7.5304577106402263E-3</v>
      </c>
      <c r="L390" s="122">
        <f t="shared" si="243"/>
        <v>8.4970984909552658E-3</v>
      </c>
      <c r="M390" s="122">
        <f t="shared" si="243"/>
        <v>9.9148284685559394E-3</v>
      </c>
      <c r="N390" s="122">
        <f t="shared" si="243"/>
        <v>1.1959190333284537E-2</v>
      </c>
      <c r="O390" s="116"/>
    </row>
    <row r="391" spans="1:16" x14ac:dyDescent="0.25">
      <c r="A391" s="118">
        <f>Puntenberekening!$I$18</f>
        <v>0.04</v>
      </c>
      <c r="B391" s="130">
        <v>10</v>
      </c>
      <c r="C391" s="126">
        <f>C392*(1+$A391)</f>
        <v>6.9285185185185187E-3</v>
      </c>
      <c r="D391" s="122">
        <f t="shared" ref="D391:N391" si="244">$C391/D386</f>
        <v>7.2633593862234183E-3</v>
      </c>
      <c r="E391" s="122">
        <f t="shared" si="244"/>
        <v>7.6322081058807206E-3</v>
      </c>
      <c r="F391" s="122">
        <f t="shared" si="244"/>
        <v>8.0405228252506886E-3</v>
      </c>
      <c r="G391" s="122">
        <f t="shared" si="244"/>
        <v>8.49499573138612E-3</v>
      </c>
      <c r="H391" s="122">
        <f t="shared" si="244"/>
        <v>5.5722362220673302E-3</v>
      </c>
      <c r="I391" s="122">
        <f t="shared" si="244"/>
        <v>5.9873129264764249E-3</v>
      </c>
      <c r="J391" s="122">
        <f t="shared" si="244"/>
        <v>6.5087069220465185E-3</v>
      </c>
      <c r="K391" s="122">
        <f t="shared" si="244"/>
        <v>7.1850238707026016E-3</v>
      </c>
      <c r="L391" s="122">
        <f t="shared" si="244"/>
        <v>8.1073233308197028E-3</v>
      </c>
      <c r="M391" s="122">
        <f t="shared" si="244"/>
        <v>9.4600198232093376E-3</v>
      </c>
      <c r="N391" s="122">
        <f t="shared" si="244"/>
        <v>1.141060362074855E-2</v>
      </c>
      <c r="O391" s="116"/>
    </row>
    <row r="392" spans="1:16" x14ac:dyDescent="0.25">
      <c r="A392" s="118">
        <f>Puntenberekening!$I$17</f>
        <v>0</v>
      </c>
      <c r="B392" s="130">
        <v>11</v>
      </c>
      <c r="C392" s="127">
        <f>VLOOKUP(A385,'KAVVV Records &amp; age-grading'!$A$3:$C$28,3,FALSE)</f>
        <v>6.6620370370370366E-3</v>
      </c>
      <c r="D392" s="122">
        <f t="shared" ref="D392:N392" si="245">$C392/D386</f>
        <v>6.9839994098302091E-3</v>
      </c>
      <c r="E392" s="122">
        <f t="shared" si="245"/>
        <v>7.3386616402699228E-3</v>
      </c>
      <c r="F392" s="122">
        <f t="shared" si="245"/>
        <v>7.7312719473564308E-3</v>
      </c>
      <c r="G392" s="122">
        <f t="shared" si="245"/>
        <v>8.1682651263328063E-3</v>
      </c>
      <c r="H392" s="122">
        <f t="shared" si="245"/>
        <v>5.3579194442955093E-3</v>
      </c>
      <c r="I392" s="122">
        <f t="shared" si="245"/>
        <v>5.7570316600734847E-3</v>
      </c>
      <c r="J392" s="122">
        <f t="shared" si="245"/>
        <v>6.2583720404293438E-3</v>
      </c>
      <c r="K392" s="122">
        <f t="shared" si="245"/>
        <v>6.9086767987525007E-3</v>
      </c>
      <c r="L392" s="122">
        <f t="shared" si="245"/>
        <v>7.7955032027112528E-3</v>
      </c>
      <c r="M392" s="122">
        <f t="shared" si="245"/>
        <v>9.0961729069320534E-3</v>
      </c>
      <c r="N392" s="122">
        <f t="shared" si="245"/>
        <v>1.0971734250719758E-2</v>
      </c>
    </row>
    <row r="393" spans="1:16" x14ac:dyDescent="0.25">
      <c r="A393" s="118"/>
      <c r="B393" s="130"/>
      <c r="C393" s="123"/>
      <c r="D393" s="121"/>
      <c r="E393" s="121"/>
      <c r="F393" s="121"/>
      <c r="G393" s="121"/>
      <c r="H393" s="121"/>
      <c r="I393" s="121"/>
      <c r="J393" s="121"/>
      <c r="K393" s="121"/>
      <c r="L393" s="121"/>
      <c r="M393" s="121"/>
      <c r="N393" s="121"/>
    </row>
    <row r="394" spans="1:16" x14ac:dyDescent="0.25">
      <c r="A394" t="s">
        <v>257</v>
      </c>
      <c r="B394" s="129"/>
      <c r="C394" s="15" t="s">
        <v>243</v>
      </c>
      <c r="D394" s="15" t="s">
        <v>233</v>
      </c>
      <c r="E394" s="15" t="s">
        <v>232</v>
      </c>
      <c r="F394" s="15" t="s">
        <v>234</v>
      </c>
      <c r="G394" s="15" t="s">
        <v>235</v>
      </c>
      <c r="H394" s="15" t="s">
        <v>236</v>
      </c>
      <c r="I394" s="15" t="s">
        <v>237</v>
      </c>
      <c r="J394" s="15" t="s">
        <v>238</v>
      </c>
      <c r="K394" s="15" t="s">
        <v>239</v>
      </c>
      <c r="L394" s="15" t="s">
        <v>240</v>
      </c>
      <c r="M394" s="15" t="s">
        <v>241</v>
      </c>
      <c r="N394" s="15" t="s">
        <v>242</v>
      </c>
      <c r="O394" s="121"/>
      <c r="P394" s="122"/>
    </row>
    <row r="395" spans="1:16" ht="14.4" x14ac:dyDescent="0.3">
      <c r="C395" s="123"/>
      <c r="D395" s="124">
        <f>VLOOKUP($A394,'KAVVV Records &amp; age-grading'!$A$3:$AF$28,20,FALSE)</f>
        <v>1.0899000000000001</v>
      </c>
      <c r="E395" s="124">
        <f>VLOOKUP($A394,'KAVVV Records &amp; age-grading'!$A$3:$AF$28,21,FALSE)</f>
        <v>1.1551</v>
      </c>
      <c r="F395" s="124">
        <f>VLOOKUP($A394,'KAVVV Records &amp; age-grading'!$A$3:$AF$28,22,FALSE)</f>
        <v>1.2285999999999999</v>
      </c>
      <c r="G395" s="124">
        <f>VLOOKUP($A394,'KAVVV Records &amp; age-grading'!$A$3:$AF$28,23,FALSE)</f>
        <v>1.3121</v>
      </c>
      <c r="H395" s="124">
        <f>VLOOKUP($A394,'KAVVV Records &amp; age-grading'!$A$3:$AF$28,24,FALSE)</f>
        <v>1.4077999999999999</v>
      </c>
      <c r="I395" s="124">
        <f>VLOOKUP($A394,'KAVVV Records &amp; age-grading'!$A$3:$AF$28,25,FALSE)</f>
        <v>1.5185999999999999</v>
      </c>
      <c r="J395" s="124">
        <f>VLOOKUP($A394,'KAVVV Records &amp; age-grading'!$A$3:$AF$28,26,FALSE)</f>
        <v>1.6482000000000001</v>
      </c>
      <c r="K395" s="124">
        <f>VLOOKUP($A394,'KAVVV Records &amp; age-grading'!$A$3:$AF$28,27,FALSE)</f>
        <v>1.8021</v>
      </c>
      <c r="L395" s="124">
        <f>VLOOKUP($A394,'KAVVV Records &amp; age-grading'!$A$3:$AF$28,28,FALSE)</f>
        <v>1.9876</v>
      </c>
      <c r="M395" s="124">
        <f>VLOOKUP($A394,'KAVVV Records &amp; age-grading'!$A$3:$AF$28,29,FALSE)</f>
        <v>2.2158000000000002</v>
      </c>
      <c r="N395" s="124">
        <f>VLOOKUP($A394,'KAVVV Records &amp; age-grading'!$A$3:$AF$28,30,FALSE)</f>
        <v>2.5030999999999999</v>
      </c>
      <c r="O395" s="116"/>
    </row>
    <row r="396" spans="1:16" x14ac:dyDescent="0.25">
      <c r="A396" s="118">
        <f>Puntenberekening!$Y$22</f>
        <v>-0.45</v>
      </c>
      <c r="B396" s="130">
        <v>6</v>
      </c>
      <c r="C396" s="8">
        <f>C401*(1+$A396)</f>
        <v>3.9105000000000003</v>
      </c>
      <c r="D396" s="131">
        <f t="shared" ref="D396:N396" si="246">$C396/D395</f>
        <v>3.5879438480594548</v>
      </c>
      <c r="E396" s="131">
        <f t="shared" si="246"/>
        <v>3.3854211756557877</v>
      </c>
      <c r="F396" s="131">
        <f t="shared" si="246"/>
        <v>3.182891095555918</v>
      </c>
      <c r="G396" s="131">
        <f t="shared" si="246"/>
        <v>2.9803368645682493</v>
      </c>
      <c r="H396" s="131">
        <f t="shared" si="246"/>
        <v>2.7777383151015771</v>
      </c>
      <c r="I396" s="131">
        <f t="shared" si="246"/>
        <v>2.5750691426313712</v>
      </c>
      <c r="J396" s="131">
        <f t="shared" si="246"/>
        <v>2.372588278121587</v>
      </c>
      <c r="K396" s="131">
        <f t="shared" si="246"/>
        <v>2.1699683702347263</v>
      </c>
      <c r="L396" s="131">
        <f t="shared" si="246"/>
        <v>1.9674481787079896</v>
      </c>
      <c r="M396" s="131">
        <f t="shared" si="246"/>
        <v>1.764825345247766</v>
      </c>
      <c r="N396" s="131">
        <f t="shared" si="246"/>
        <v>1.5622627941352725</v>
      </c>
      <c r="O396" s="116"/>
    </row>
    <row r="397" spans="1:16" x14ac:dyDescent="0.25">
      <c r="A397" s="118">
        <f>Puntenberekening!$Y$21</f>
        <v>-0.33</v>
      </c>
      <c r="B397" s="130">
        <v>7</v>
      </c>
      <c r="C397" s="8">
        <f>C401*(1+$A397)</f>
        <v>4.7637</v>
      </c>
      <c r="D397" s="131">
        <f t="shared" ref="D397:N397" si="247">$C397/D395</f>
        <v>4.3707679603633354</v>
      </c>
      <c r="E397" s="131">
        <f t="shared" si="247"/>
        <v>4.1240585230715956</v>
      </c>
      <c r="F397" s="131">
        <f t="shared" si="247"/>
        <v>3.877340061859027</v>
      </c>
      <c r="G397" s="131">
        <f t="shared" si="247"/>
        <v>3.6305921804740491</v>
      </c>
      <c r="H397" s="131">
        <f t="shared" si="247"/>
        <v>3.3837903111237395</v>
      </c>
      <c r="I397" s="131">
        <f t="shared" si="247"/>
        <v>3.1369024101145793</v>
      </c>
      <c r="J397" s="131">
        <f t="shared" si="247"/>
        <v>2.8902439024390243</v>
      </c>
      <c r="K397" s="131">
        <f t="shared" si="247"/>
        <v>2.6434160146495755</v>
      </c>
      <c r="L397" s="131">
        <f t="shared" si="247"/>
        <v>2.3967095995170054</v>
      </c>
      <c r="M397" s="131">
        <f t="shared" si="247"/>
        <v>2.1498781478472786</v>
      </c>
      <c r="N397" s="131">
        <f t="shared" si="247"/>
        <v>1.9031201310375137</v>
      </c>
      <c r="O397" s="116"/>
    </row>
    <row r="398" spans="1:16" x14ac:dyDescent="0.25">
      <c r="A398" s="118">
        <f>Puntenberekening!$Y$20</f>
        <v>-0.22500000000000001</v>
      </c>
      <c r="B398" s="130">
        <v>8</v>
      </c>
      <c r="C398" s="8">
        <f>C401*(1+$A398)</f>
        <v>5.5102500000000001</v>
      </c>
      <c r="D398" s="131">
        <f t="shared" ref="D398:N398" si="248">$C398/D395</f>
        <v>5.0557390586292321</v>
      </c>
      <c r="E398" s="131">
        <f t="shared" si="248"/>
        <v>4.7703662020604281</v>
      </c>
      <c r="F398" s="131">
        <f t="shared" si="248"/>
        <v>4.4849829073742473</v>
      </c>
      <c r="G398" s="131">
        <f t="shared" si="248"/>
        <v>4.1995655818916244</v>
      </c>
      <c r="H398" s="131">
        <f t="shared" si="248"/>
        <v>3.9140858076431315</v>
      </c>
      <c r="I398" s="131">
        <f t="shared" si="248"/>
        <v>3.6285065191623866</v>
      </c>
      <c r="J398" s="131">
        <f t="shared" si="248"/>
        <v>3.3431925737167818</v>
      </c>
      <c r="K398" s="131">
        <f t="shared" si="248"/>
        <v>3.0576827035125689</v>
      </c>
      <c r="L398" s="131">
        <f t="shared" si="248"/>
        <v>2.7723133427248943</v>
      </c>
      <c r="M398" s="131">
        <f t="shared" si="248"/>
        <v>2.4867993501218519</v>
      </c>
      <c r="N398" s="131">
        <f t="shared" si="248"/>
        <v>2.2013703008269747</v>
      </c>
      <c r="O398" s="116"/>
    </row>
    <row r="399" spans="1:16" x14ac:dyDescent="0.25">
      <c r="A399" s="118">
        <f>Puntenberekening!$Y$19</f>
        <v>-0.13500000000000001</v>
      </c>
      <c r="B399" s="130">
        <v>9</v>
      </c>
      <c r="C399" s="8">
        <f>C401*(1+$A399)</f>
        <v>6.15015</v>
      </c>
      <c r="D399" s="131">
        <f t="shared" ref="D399:N399" si="249">$C399/D395</f>
        <v>5.6428571428571423</v>
      </c>
      <c r="E399" s="131">
        <f t="shared" si="249"/>
        <v>5.3243442126222833</v>
      </c>
      <c r="F399" s="131">
        <f t="shared" si="249"/>
        <v>5.0058196321015798</v>
      </c>
      <c r="G399" s="131">
        <f t="shared" si="249"/>
        <v>4.6872570688209736</v>
      </c>
      <c r="H399" s="131">
        <f t="shared" si="249"/>
        <v>4.3686248046597527</v>
      </c>
      <c r="I399" s="131">
        <f t="shared" si="249"/>
        <v>4.0498814697747925</v>
      </c>
      <c r="J399" s="131">
        <f t="shared" si="249"/>
        <v>3.7314342919548595</v>
      </c>
      <c r="K399" s="131">
        <f t="shared" si="249"/>
        <v>3.4127684368237055</v>
      </c>
      <c r="L399" s="131">
        <f t="shared" si="249"/>
        <v>3.0942594083316561</v>
      </c>
      <c r="M399" s="131">
        <f t="shared" si="249"/>
        <v>2.7755889520714865</v>
      </c>
      <c r="N399" s="131">
        <f t="shared" si="249"/>
        <v>2.4570133035036554</v>
      </c>
      <c r="O399" s="116"/>
    </row>
    <row r="400" spans="1:16" x14ac:dyDescent="0.25">
      <c r="A400" s="118">
        <f>Puntenberekening!$Y$18</f>
        <v>-0.06</v>
      </c>
      <c r="B400" s="130">
        <v>10</v>
      </c>
      <c r="C400" s="8">
        <f>C401*(1+$A400)</f>
        <v>6.6833999999999998</v>
      </c>
      <c r="D400" s="131">
        <f t="shared" ref="D400:N400" si="250">$C400/D395</f>
        <v>6.1321222130470678</v>
      </c>
      <c r="E400" s="131">
        <f t="shared" si="250"/>
        <v>5.785992554757164</v>
      </c>
      <c r="F400" s="131">
        <f t="shared" si="250"/>
        <v>5.4398502360410221</v>
      </c>
      <c r="G400" s="131">
        <f t="shared" si="250"/>
        <v>5.0936666412620983</v>
      </c>
      <c r="H400" s="131">
        <f t="shared" si="250"/>
        <v>4.7474073021736043</v>
      </c>
      <c r="I400" s="131">
        <f t="shared" si="250"/>
        <v>4.4010272619517981</v>
      </c>
      <c r="J400" s="131">
        <f t="shared" si="250"/>
        <v>4.0549690571532579</v>
      </c>
      <c r="K400" s="131">
        <f t="shared" si="250"/>
        <v>3.7086732145829862</v>
      </c>
      <c r="L400" s="131">
        <f t="shared" si="250"/>
        <v>3.362547796337291</v>
      </c>
      <c r="M400" s="131">
        <f t="shared" si="250"/>
        <v>3.0162469536961818</v>
      </c>
      <c r="N400" s="131">
        <f t="shared" si="250"/>
        <v>2.6700491390675563</v>
      </c>
      <c r="O400" s="116"/>
    </row>
    <row r="401" spans="1:16" x14ac:dyDescent="0.25">
      <c r="A401" s="118">
        <f>Puntenberekening!$Y$17</f>
        <v>0</v>
      </c>
      <c r="B401" s="130">
        <v>11</v>
      </c>
      <c r="C401" s="132">
        <f>VLOOKUP(A394,'KAVVV Records &amp; age-grading'!$A$3:$C$28,3,FALSE)</f>
        <v>7.11</v>
      </c>
      <c r="D401" s="131">
        <f t="shared" ref="D401:N401" si="251">$C401/D395</f>
        <v>6.5235342691990086</v>
      </c>
      <c r="E401" s="131">
        <f t="shared" si="251"/>
        <v>6.1553112284650684</v>
      </c>
      <c r="F401" s="131">
        <f t="shared" si="251"/>
        <v>5.787074719192578</v>
      </c>
      <c r="G401" s="131">
        <f t="shared" si="251"/>
        <v>5.4187942992149987</v>
      </c>
      <c r="H401" s="131">
        <f t="shared" si="251"/>
        <v>5.0504333001846859</v>
      </c>
      <c r="I401" s="131">
        <f t="shared" si="251"/>
        <v>4.6819438956934025</v>
      </c>
      <c r="J401" s="131">
        <f t="shared" si="251"/>
        <v>4.313796869311977</v>
      </c>
      <c r="K401" s="131">
        <f t="shared" si="251"/>
        <v>3.9453970367904114</v>
      </c>
      <c r="L401" s="131">
        <f t="shared" si="251"/>
        <v>3.5771785067417992</v>
      </c>
      <c r="M401" s="131">
        <f t="shared" si="251"/>
        <v>3.2087733549959383</v>
      </c>
      <c r="N401" s="131">
        <f t="shared" si="251"/>
        <v>2.8404778075186772</v>
      </c>
    </row>
    <row r="402" spans="1:16" x14ac:dyDescent="0.25">
      <c r="A402" s="118"/>
      <c r="B402" s="130"/>
      <c r="C402" s="123"/>
      <c r="D402" s="121"/>
      <c r="E402" s="121"/>
      <c r="F402" s="121"/>
      <c r="G402" s="121"/>
      <c r="H402" s="121"/>
      <c r="I402" s="121"/>
      <c r="J402" s="121"/>
      <c r="K402" s="121"/>
      <c r="L402" s="121"/>
      <c r="M402" s="121"/>
      <c r="N402" s="121"/>
    </row>
    <row r="403" spans="1:16" x14ac:dyDescent="0.25">
      <c r="A403" t="s">
        <v>258</v>
      </c>
      <c r="B403" s="129"/>
      <c r="C403" s="15" t="s">
        <v>243</v>
      </c>
      <c r="D403" s="15" t="s">
        <v>233</v>
      </c>
      <c r="E403" s="15" t="s">
        <v>232</v>
      </c>
      <c r="F403" s="15" t="s">
        <v>234</v>
      </c>
      <c r="G403" s="15" t="s">
        <v>235</v>
      </c>
      <c r="H403" s="15" t="s">
        <v>236</v>
      </c>
      <c r="I403" s="15" t="s">
        <v>237</v>
      </c>
      <c r="J403" s="15" t="s">
        <v>238</v>
      </c>
      <c r="K403" s="15" t="s">
        <v>239</v>
      </c>
      <c r="L403" s="15" t="s">
        <v>240</v>
      </c>
      <c r="M403" s="15" t="s">
        <v>241</v>
      </c>
      <c r="N403" s="15" t="s">
        <v>242</v>
      </c>
      <c r="O403" s="121"/>
      <c r="P403" s="122"/>
    </row>
    <row r="404" spans="1:16" ht="14.4" x14ac:dyDescent="0.3">
      <c r="C404" s="123"/>
      <c r="D404" s="124">
        <f>VLOOKUP($A403,'KAVVV Records &amp; age-grading'!$A$3:$AF$28,20,FALSE)</f>
        <v>1.0486</v>
      </c>
      <c r="E404" s="124">
        <f>VLOOKUP($A403,'KAVVV Records &amp; age-grading'!$A$3:$AF$28,21,FALSE)</f>
        <v>1.1022000000000001</v>
      </c>
      <c r="F404" s="124">
        <f>VLOOKUP($A403,'KAVVV Records &amp; age-grading'!$A$3:$AF$28,22,FALSE)</f>
        <v>1.1617</v>
      </c>
      <c r="G404" s="124">
        <f>VLOOKUP($A403,'KAVVV Records &amp; age-grading'!$A$3:$AF$28,23,FALSE)</f>
        <v>1.228</v>
      </c>
      <c r="H404" s="124">
        <f>VLOOKUP($A403,'KAVVV Records &amp; age-grading'!$A$3:$AF$28,24,FALSE)</f>
        <v>1.3025</v>
      </c>
      <c r="I404" s="124">
        <f>VLOOKUP($A403,'KAVVV Records &amp; age-grading'!$A$3:$AF$28,25,FALSE)</f>
        <v>1.3869</v>
      </c>
      <c r="J404" s="124">
        <f>VLOOKUP($A403,'KAVVV Records &amp; age-grading'!$A$3:$AF$28,26,FALSE)</f>
        <v>1.4832000000000001</v>
      </c>
      <c r="K404" s="124">
        <f>VLOOKUP($A403,'KAVVV Records &amp; age-grading'!$A$3:$AF$28,27,FALSE)</f>
        <v>1.5943000000000001</v>
      </c>
      <c r="L404" s="124">
        <f>VLOOKUP($A403,'KAVVV Records &amp; age-grading'!$A$3:$AF$28,28,FALSE)</f>
        <v>1.7241</v>
      </c>
      <c r="M404" s="124">
        <f>VLOOKUP($A403,'KAVVV Records &amp; age-grading'!$A$3:$AF$28,29,FALSE)</f>
        <v>1.8778999999999999</v>
      </c>
      <c r="N404" s="124">
        <f>VLOOKUP($A403,'KAVVV Records &amp; age-grading'!$A$3:$AF$28,30,FALSE)</f>
        <v>2.0634999999999999</v>
      </c>
      <c r="O404" s="116"/>
    </row>
    <row r="405" spans="1:16" x14ac:dyDescent="0.25">
      <c r="A405" s="118">
        <f>Puntenberekening!$Y$22</f>
        <v>-0.45</v>
      </c>
      <c r="B405" s="130">
        <v>6</v>
      </c>
      <c r="C405" s="8">
        <f>C410*(1+$A405)</f>
        <v>1.1054999999999999</v>
      </c>
      <c r="D405" s="131">
        <f t="shared" ref="D405:N405" si="252">$C405/D404</f>
        <v>1.0542628266259775</v>
      </c>
      <c r="E405" s="131">
        <f t="shared" si="252"/>
        <v>1.0029940119760479</v>
      </c>
      <c r="F405" s="131">
        <f t="shared" si="252"/>
        <v>0.95162262201945425</v>
      </c>
      <c r="G405" s="131">
        <f t="shared" si="252"/>
        <v>0.900244299674267</v>
      </c>
      <c r="H405" s="131">
        <f t="shared" si="252"/>
        <v>0.84875239923224566</v>
      </c>
      <c r="I405" s="131">
        <f t="shared" si="252"/>
        <v>0.79710144927536231</v>
      </c>
      <c r="J405" s="131">
        <f t="shared" si="252"/>
        <v>0.74534789644012933</v>
      </c>
      <c r="K405" s="131">
        <f t="shared" si="252"/>
        <v>0.69340776516339453</v>
      </c>
      <c r="L405" s="131">
        <f t="shared" si="252"/>
        <v>0.64120410649034276</v>
      </c>
      <c r="M405" s="131">
        <f t="shared" si="252"/>
        <v>0.58868949358325784</v>
      </c>
      <c r="N405" s="131">
        <f t="shared" si="252"/>
        <v>0.53574024715289559</v>
      </c>
      <c r="O405" s="116"/>
    </row>
    <row r="406" spans="1:16" x14ac:dyDescent="0.25">
      <c r="A406" s="118">
        <f>Puntenberekening!$Y$21</f>
        <v>-0.33</v>
      </c>
      <c r="B406" s="130">
        <v>7</v>
      </c>
      <c r="C406" s="8">
        <f>C410*(1+$A406)</f>
        <v>1.3466999999999998</v>
      </c>
      <c r="D406" s="131">
        <f t="shared" ref="D406:N406" si="253">$C406/D404</f>
        <v>1.2842838069807361</v>
      </c>
      <c r="E406" s="131">
        <f t="shared" si="253"/>
        <v>1.221829069134458</v>
      </c>
      <c r="F406" s="131">
        <f t="shared" si="253"/>
        <v>1.1592493759146079</v>
      </c>
      <c r="G406" s="131">
        <f t="shared" si="253"/>
        <v>1.0966612377850162</v>
      </c>
      <c r="H406" s="131">
        <f t="shared" si="253"/>
        <v>1.0339347408829174</v>
      </c>
      <c r="I406" s="131">
        <f t="shared" si="253"/>
        <v>0.97101449275362306</v>
      </c>
      <c r="J406" s="131">
        <f t="shared" si="253"/>
        <v>0.90796925566343023</v>
      </c>
      <c r="K406" s="131">
        <f t="shared" si="253"/>
        <v>0.84469673210813512</v>
      </c>
      <c r="L406" s="131">
        <f t="shared" si="253"/>
        <v>0.78110318427005387</v>
      </c>
      <c r="M406" s="131">
        <f t="shared" si="253"/>
        <v>0.71713083763778684</v>
      </c>
      <c r="N406" s="131">
        <f t="shared" si="253"/>
        <v>0.65262902834989089</v>
      </c>
      <c r="O406" s="116"/>
    </row>
    <row r="407" spans="1:16" x14ac:dyDescent="0.25">
      <c r="A407" s="118">
        <f>Puntenberekening!$Y$20</f>
        <v>-0.22500000000000001</v>
      </c>
      <c r="B407" s="130">
        <v>8</v>
      </c>
      <c r="C407" s="8">
        <f>C410*(1+$A407)</f>
        <v>1.55775</v>
      </c>
      <c r="D407" s="131">
        <f t="shared" ref="D407:N407" si="254">$C407/D404</f>
        <v>1.48555216479115</v>
      </c>
      <c r="E407" s="131">
        <f t="shared" si="254"/>
        <v>1.4133097441480673</v>
      </c>
      <c r="F407" s="131">
        <f t="shared" si="254"/>
        <v>1.3409227855728674</v>
      </c>
      <c r="G407" s="131">
        <f t="shared" si="254"/>
        <v>1.2685260586319218</v>
      </c>
      <c r="H407" s="131">
        <f t="shared" si="254"/>
        <v>1.1959692898272554</v>
      </c>
      <c r="I407" s="131">
        <f t="shared" si="254"/>
        <v>1.1231884057971013</v>
      </c>
      <c r="J407" s="131">
        <f t="shared" si="254"/>
        <v>1.0502629449838188</v>
      </c>
      <c r="K407" s="131">
        <f t="shared" si="254"/>
        <v>0.97707457818478327</v>
      </c>
      <c r="L407" s="131">
        <f t="shared" si="254"/>
        <v>0.90351487732730118</v>
      </c>
      <c r="M407" s="131">
        <f t="shared" si="254"/>
        <v>0.82951701368549979</v>
      </c>
      <c r="N407" s="131">
        <f t="shared" si="254"/>
        <v>0.75490671189726199</v>
      </c>
      <c r="O407" s="116"/>
    </row>
    <row r="408" spans="1:16" x14ac:dyDescent="0.25">
      <c r="A408" s="118">
        <f>Puntenberekening!$Y$19</f>
        <v>-0.13500000000000001</v>
      </c>
      <c r="B408" s="130">
        <v>9</v>
      </c>
      <c r="C408" s="8">
        <f>C410*(1+$A408)</f>
        <v>1.7386499999999998</v>
      </c>
      <c r="D408" s="131">
        <f t="shared" ref="D408:N408" si="255">$C408/D404</f>
        <v>1.6580679000572189</v>
      </c>
      <c r="E408" s="131">
        <f t="shared" si="255"/>
        <v>1.577436037016875</v>
      </c>
      <c r="F408" s="131">
        <f t="shared" si="255"/>
        <v>1.4966428509942324</v>
      </c>
      <c r="G408" s="131">
        <f t="shared" si="255"/>
        <v>1.4158387622149835</v>
      </c>
      <c r="H408" s="131">
        <f t="shared" si="255"/>
        <v>1.334856046065259</v>
      </c>
      <c r="I408" s="131">
        <f t="shared" si="255"/>
        <v>1.2536231884057969</v>
      </c>
      <c r="J408" s="131">
        <f t="shared" si="255"/>
        <v>1.1722289644012942</v>
      </c>
      <c r="K408" s="131">
        <f t="shared" si="255"/>
        <v>1.0905413033933387</v>
      </c>
      <c r="L408" s="131">
        <f t="shared" si="255"/>
        <v>1.0084391856620845</v>
      </c>
      <c r="M408" s="131">
        <f t="shared" si="255"/>
        <v>0.92584802172639646</v>
      </c>
      <c r="N408" s="131">
        <f t="shared" si="255"/>
        <v>0.84257329779500845</v>
      </c>
      <c r="O408" s="116"/>
    </row>
    <row r="409" spans="1:16" x14ac:dyDescent="0.25">
      <c r="A409" s="118">
        <f>Puntenberekening!$Y$18</f>
        <v>-0.06</v>
      </c>
      <c r="B409" s="130">
        <v>10</v>
      </c>
      <c r="C409" s="8">
        <f>C410*(1+$A409)</f>
        <v>1.8893999999999997</v>
      </c>
      <c r="D409" s="131">
        <f t="shared" ref="D409:N409" si="256">$C409/D404</f>
        <v>1.8018310127789432</v>
      </c>
      <c r="E409" s="131">
        <f t="shared" si="256"/>
        <v>1.7142079477408816</v>
      </c>
      <c r="F409" s="131">
        <f t="shared" si="256"/>
        <v>1.6264095721787035</v>
      </c>
      <c r="G409" s="131">
        <f t="shared" si="256"/>
        <v>1.5385993485342018</v>
      </c>
      <c r="H409" s="131">
        <f t="shared" si="256"/>
        <v>1.4505950095969289</v>
      </c>
      <c r="I409" s="131">
        <f t="shared" si="256"/>
        <v>1.36231884057971</v>
      </c>
      <c r="J409" s="131">
        <f t="shared" si="256"/>
        <v>1.2738673139158574</v>
      </c>
      <c r="K409" s="131">
        <f t="shared" si="256"/>
        <v>1.1850969077338014</v>
      </c>
      <c r="L409" s="131">
        <f t="shared" si="256"/>
        <v>1.0958761092744038</v>
      </c>
      <c r="M409" s="131">
        <f t="shared" si="256"/>
        <v>1.0061238617604771</v>
      </c>
      <c r="N409" s="131">
        <f t="shared" si="256"/>
        <v>0.91562878604313058</v>
      </c>
      <c r="O409" s="116"/>
    </row>
    <row r="410" spans="1:16" x14ac:dyDescent="0.25">
      <c r="A410" s="118">
        <f>Puntenberekening!$Y$17</f>
        <v>0</v>
      </c>
      <c r="B410" s="130">
        <v>11</v>
      </c>
      <c r="C410" s="132">
        <f>VLOOKUP(A403,'KAVVV Records &amp; age-grading'!$A$3:$C$28,3,FALSE)</f>
        <v>2.0099999999999998</v>
      </c>
      <c r="D410" s="131">
        <f t="shared" ref="D410:N410" si="257">$C410/D404</f>
        <v>1.9168415029563226</v>
      </c>
      <c r="E410" s="131">
        <f t="shared" si="257"/>
        <v>1.8236254763200868</v>
      </c>
      <c r="F410" s="131">
        <f t="shared" si="257"/>
        <v>1.7302229491262804</v>
      </c>
      <c r="G410" s="131">
        <f t="shared" si="257"/>
        <v>1.6368078175895764</v>
      </c>
      <c r="H410" s="131">
        <f t="shared" si="257"/>
        <v>1.5431861804222646</v>
      </c>
      <c r="I410" s="131">
        <f t="shared" si="257"/>
        <v>1.4492753623188404</v>
      </c>
      <c r="J410" s="131">
        <f t="shared" si="257"/>
        <v>1.3551779935275079</v>
      </c>
      <c r="K410" s="131">
        <f t="shared" si="257"/>
        <v>1.2607413912061718</v>
      </c>
      <c r="L410" s="131">
        <f t="shared" si="257"/>
        <v>1.1658256481642595</v>
      </c>
      <c r="M410" s="131">
        <f t="shared" si="257"/>
        <v>1.0703445337877415</v>
      </c>
      <c r="N410" s="131">
        <f t="shared" si="257"/>
        <v>0.97407317664162829</v>
      </c>
    </row>
    <row r="411" spans="1:16" x14ac:dyDescent="0.25">
      <c r="A411" s="118"/>
      <c r="B411" s="130"/>
      <c r="C411" s="123"/>
      <c r="D411" s="121"/>
      <c r="E411" s="121"/>
      <c r="F411" s="121"/>
      <c r="G411" s="121"/>
      <c r="H411" s="121"/>
      <c r="I411" s="121"/>
      <c r="J411" s="121"/>
      <c r="K411" s="121"/>
      <c r="L411" s="121"/>
      <c r="M411" s="121"/>
      <c r="N411" s="121"/>
    </row>
    <row r="412" spans="1:16" x14ac:dyDescent="0.25">
      <c r="A412" t="s">
        <v>259</v>
      </c>
      <c r="B412" s="129"/>
      <c r="C412" s="15" t="s">
        <v>243</v>
      </c>
      <c r="D412" s="15" t="s">
        <v>233</v>
      </c>
      <c r="E412" s="15" t="s">
        <v>232</v>
      </c>
      <c r="F412" s="15" t="s">
        <v>234</v>
      </c>
      <c r="G412" s="15" t="s">
        <v>235</v>
      </c>
      <c r="H412" s="15" t="s">
        <v>236</v>
      </c>
      <c r="I412" s="15" t="s">
        <v>237</v>
      </c>
      <c r="J412" s="15" t="s">
        <v>238</v>
      </c>
      <c r="K412" s="15" t="s">
        <v>239</v>
      </c>
      <c r="L412" s="15" t="s">
        <v>240</v>
      </c>
      <c r="M412" s="15" t="s">
        <v>241</v>
      </c>
      <c r="N412" s="15" t="s">
        <v>242</v>
      </c>
      <c r="O412" s="121"/>
      <c r="P412" s="122"/>
    </row>
    <row r="413" spans="1:16" ht="14.4" x14ac:dyDescent="0.3">
      <c r="C413" s="123"/>
      <c r="D413" s="124">
        <f>VLOOKUP($A412,'KAVVV Records &amp; age-grading'!$A$3:$AF$28,20,FALSE)</f>
        <v>1.0636000000000001</v>
      </c>
      <c r="E413" s="124">
        <f>VLOOKUP($A412,'KAVVV Records &amp; age-grading'!$A$3:$AF$28,21,FALSE)</f>
        <v>1.127</v>
      </c>
      <c r="F413" s="124">
        <f>VLOOKUP($A412,'KAVVV Records &amp; age-grading'!$A$3:$AF$28,22,FALSE)</f>
        <v>1.1983999999999999</v>
      </c>
      <c r="G413" s="124">
        <f>VLOOKUP($A412,'KAVVV Records &amp; age-grading'!$A$3:$AF$28,23,FALSE)</f>
        <v>1.2795000000000001</v>
      </c>
      <c r="H413" s="124">
        <f>VLOOKUP($A412,'KAVVV Records &amp; age-grading'!$A$3:$AF$28,24,FALSE)</f>
        <v>1.3724000000000001</v>
      </c>
      <c r="I413" s="124">
        <f>VLOOKUP($A412,'KAVVV Records &amp; age-grading'!$A$3:$AF$28,25,FALSE)</f>
        <v>1.4799</v>
      </c>
      <c r="J413" s="124">
        <f>VLOOKUP($A412,'KAVVV Records &amp; age-grading'!$A$3:$AF$28,26,FALSE)</f>
        <v>1.6055999999999999</v>
      </c>
      <c r="K413" s="124">
        <f>VLOOKUP($A412,'KAVVV Records &amp; age-grading'!$A$3:$AF$28,27,FALSE)</f>
        <v>1.7545999999999999</v>
      </c>
      <c r="L413" s="124">
        <f>VLOOKUP($A412,'KAVVV Records &amp; age-grading'!$A$3:$AF$28,28,FALSE)</f>
        <v>1.9428000000000001</v>
      </c>
      <c r="M413" s="124">
        <f>VLOOKUP($A412,'KAVVV Records &amp; age-grading'!$A$3:$AF$28,29,FALSE)</f>
        <v>2.1981999999999999</v>
      </c>
      <c r="N413" s="124">
        <f>VLOOKUP($A412,'KAVVV Records &amp; age-grading'!$A$3:$AF$28,30,FALSE)</f>
        <v>2.5758999999999999</v>
      </c>
      <c r="O413" s="116"/>
    </row>
    <row r="414" spans="1:16" x14ac:dyDescent="0.25">
      <c r="A414" s="118">
        <f>Puntenberekening!$Y$22</f>
        <v>-0.45</v>
      </c>
      <c r="B414" s="130">
        <v>6</v>
      </c>
      <c r="C414" s="8">
        <f>C419*(1+$A414)</f>
        <v>7.4745000000000008</v>
      </c>
      <c r="D414" s="131">
        <f t="shared" ref="D414:N414" si="258">$C414/D413</f>
        <v>7.0275479503572775</v>
      </c>
      <c r="E414" s="131">
        <f t="shared" si="258"/>
        <v>6.6322094055013316</v>
      </c>
      <c r="F414" s="131">
        <f t="shared" si="258"/>
        <v>6.2370660881174915</v>
      </c>
      <c r="G414" s="131">
        <f t="shared" si="258"/>
        <v>5.8417350527549825</v>
      </c>
      <c r="H414" s="131">
        <f t="shared" si="258"/>
        <v>5.4462984552608571</v>
      </c>
      <c r="I414" s="131">
        <f t="shared" si="258"/>
        <v>5.0506790999391855</v>
      </c>
      <c r="J414" s="131">
        <f t="shared" si="258"/>
        <v>4.655269058295965</v>
      </c>
      <c r="K414" s="131">
        <f t="shared" si="258"/>
        <v>4.259945286675026</v>
      </c>
      <c r="L414" s="131">
        <f t="shared" si="258"/>
        <v>3.8472822730080298</v>
      </c>
      <c r="M414" s="131">
        <f t="shared" si="258"/>
        <v>3.4002820489491405</v>
      </c>
      <c r="N414" s="131">
        <f t="shared" si="258"/>
        <v>2.9017042587056956</v>
      </c>
      <c r="O414" s="116"/>
    </row>
    <row r="415" spans="1:16" x14ac:dyDescent="0.25">
      <c r="A415" s="118">
        <f>Puntenberekening!$Y$21</f>
        <v>-0.33</v>
      </c>
      <c r="B415" s="130">
        <v>7</v>
      </c>
      <c r="C415" s="8">
        <f>C419*(1+$A415)</f>
        <v>9.1052999999999997</v>
      </c>
      <c r="D415" s="131">
        <f t="shared" ref="D415:N415" si="259">$C415/D413</f>
        <v>8.5608311395261367</v>
      </c>
      <c r="E415" s="131">
        <f t="shared" si="259"/>
        <v>8.0792369121561673</v>
      </c>
      <c r="F415" s="131">
        <f t="shared" si="259"/>
        <v>7.5978805073431248</v>
      </c>
      <c r="G415" s="131">
        <f t="shared" si="259"/>
        <v>7.1162954279015231</v>
      </c>
      <c r="H415" s="131">
        <f t="shared" si="259"/>
        <v>6.6345817545904975</v>
      </c>
      <c r="I415" s="131">
        <f t="shared" si="259"/>
        <v>6.1526454490168252</v>
      </c>
      <c r="J415" s="131">
        <f t="shared" si="259"/>
        <v>5.6709641255605385</v>
      </c>
      <c r="K415" s="131">
        <f t="shared" si="259"/>
        <v>5.189387894676849</v>
      </c>
      <c r="L415" s="131">
        <f t="shared" si="259"/>
        <v>4.6866893143915993</v>
      </c>
      <c r="M415" s="131">
        <f t="shared" si="259"/>
        <v>4.1421617687198617</v>
      </c>
      <c r="N415" s="131">
        <f t="shared" si="259"/>
        <v>3.5348033696960286</v>
      </c>
      <c r="O415" s="116"/>
    </row>
    <row r="416" spans="1:16" x14ac:dyDescent="0.25">
      <c r="A416" s="118">
        <f>Puntenberekening!$Y$20</f>
        <v>-0.22500000000000001</v>
      </c>
      <c r="B416" s="130">
        <v>8</v>
      </c>
      <c r="C416" s="8">
        <f>C419*(1+$A416)</f>
        <v>10.532249999999999</v>
      </c>
      <c r="D416" s="131">
        <f t="shared" ref="D416:N416" si="260">$C416/D413</f>
        <v>9.902453930048889</v>
      </c>
      <c r="E416" s="131">
        <f t="shared" si="260"/>
        <v>9.345385980479147</v>
      </c>
      <c r="F416" s="131">
        <f t="shared" si="260"/>
        <v>8.7885931241655548</v>
      </c>
      <c r="G416" s="131">
        <f t="shared" si="260"/>
        <v>8.2315357561547469</v>
      </c>
      <c r="H416" s="131">
        <f t="shared" si="260"/>
        <v>7.6743296415039337</v>
      </c>
      <c r="I416" s="131">
        <f t="shared" si="260"/>
        <v>7.1168660044597605</v>
      </c>
      <c r="J416" s="131">
        <f t="shared" si="260"/>
        <v>6.5596973094170403</v>
      </c>
      <c r="K416" s="131">
        <f t="shared" si="260"/>
        <v>6.0026501766784452</v>
      </c>
      <c r="L416" s="131">
        <f t="shared" si="260"/>
        <v>5.4211704756022234</v>
      </c>
      <c r="M416" s="131">
        <f t="shared" si="260"/>
        <v>4.7913065235192427</v>
      </c>
      <c r="N416" s="131">
        <f t="shared" si="260"/>
        <v>4.0887650918125704</v>
      </c>
      <c r="O416" s="116"/>
    </row>
    <row r="417" spans="1:16" x14ac:dyDescent="0.25">
      <c r="A417" s="118">
        <f>Puntenberekening!$Y$19</f>
        <v>-0.13500000000000001</v>
      </c>
      <c r="B417" s="130">
        <v>9</v>
      </c>
      <c r="C417" s="8">
        <f>C419*(1+$A417)</f>
        <v>11.75535</v>
      </c>
      <c r="D417" s="131">
        <f t="shared" ref="D417:N417" si="261">$C417/D413</f>
        <v>11.052416321925534</v>
      </c>
      <c r="E417" s="131">
        <f t="shared" si="261"/>
        <v>10.430656610470274</v>
      </c>
      <c r="F417" s="131">
        <f t="shared" si="261"/>
        <v>9.8092039385847798</v>
      </c>
      <c r="G417" s="131">
        <f t="shared" si="261"/>
        <v>9.1874560375146537</v>
      </c>
      <c r="H417" s="131">
        <f t="shared" si="261"/>
        <v>8.5655421160011649</v>
      </c>
      <c r="I417" s="131">
        <f t="shared" si="261"/>
        <v>7.9433407662679913</v>
      </c>
      <c r="J417" s="131">
        <f t="shared" si="261"/>
        <v>7.3214686098654713</v>
      </c>
      <c r="K417" s="131">
        <f t="shared" si="261"/>
        <v>6.6997321326798129</v>
      </c>
      <c r="L417" s="131">
        <f t="shared" si="261"/>
        <v>6.0507257566399009</v>
      </c>
      <c r="M417" s="131">
        <f t="shared" si="261"/>
        <v>5.3477163133472843</v>
      </c>
      <c r="N417" s="131">
        <f t="shared" si="261"/>
        <v>4.5635894250553211</v>
      </c>
      <c r="O417" s="116"/>
    </row>
    <row r="418" spans="1:16" x14ac:dyDescent="0.25">
      <c r="A418" s="118">
        <f>Puntenberekening!$Y$18</f>
        <v>-0.06</v>
      </c>
      <c r="B418" s="130">
        <v>10</v>
      </c>
      <c r="C418" s="8">
        <f>C419*(1+$A418)</f>
        <v>12.7746</v>
      </c>
      <c r="D418" s="131">
        <f t="shared" ref="D418:N418" si="262">$C418/D413</f>
        <v>12.010718315156073</v>
      </c>
      <c r="E418" s="131">
        <f t="shared" si="262"/>
        <v>11.335048802129547</v>
      </c>
      <c r="F418" s="131">
        <f t="shared" si="262"/>
        <v>10.659712950600801</v>
      </c>
      <c r="G418" s="131">
        <f t="shared" si="262"/>
        <v>9.9840562719812418</v>
      </c>
      <c r="H418" s="131">
        <f t="shared" si="262"/>
        <v>9.3082191780821901</v>
      </c>
      <c r="I418" s="131">
        <f t="shared" si="262"/>
        <v>8.6320697344415152</v>
      </c>
      <c r="J418" s="131">
        <f t="shared" si="262"/>
        <v>7.9562780269058297</v>
      </c>
      <c r="K418" s="131">
        <f t="shared" si="262"/>
        <v>7.280633762680953</v>
      </c>
      <c r="L418" s="131">
        <f t="shared" si="262"/>
        <v>6.5753551575046316</v>
      </c>
      <c r="M418" s="131">
        <f t="shared" si="262"/>
        <v>5.8113911382039847</v>
      </c>
      <c r="N418" s="131">
        <f t="shared" si="262"/>
        <v>4.9592763694242787</v>
      </c>
      <c r="O418" s="116"/>
    </row>
    <row r="419" spans="1:16" x14ac:dyDescent="0.25">
      <c r="A419" s="118">
        <f>Puntenberekening!$Y$17</f>
        <v>0</v>
      </c>
      <c r="B419" s="130">
        <v>11</v>
      </c>
      <c r="C419" s="132">
        <f>VLOOKUP(A412,'KAVVV Records &amp; age-grading'!$A$3:$C$28,3,FALSE)</f>
        <v>13.59</v>
      </c>
      <c r="D419" s="131">
        <f t="shared" ref="D419:N419" si="263">$C419/D413</f>
        <v>12.777359909740502</v>
      </c>
      <c r="E419" s="131">
        <f t="shared" si="263"/>
        <v>12.058562555456966</v>
      </c>
      <c r="F419" s="131">
        <f t="shared" si="263"/>
        <v>11.340120160213619</v>
      </c>
      <c r="G419" s="131">
        <f t="shared" si="263"/>
        <v>10.621336459554513</v>
      </c>
      <c r="H419" s="131">
        <f t="shared" si="263"/>
        <v>9.9023608277470121</v>
      </c>
      <c r="I419" s="131">
        <f t="shared" si="263"/>
        <v>9.1830529089803363</v>
      </c>
      <c r="J419" s="131">
        <f t="shared" si="263"/>
        <v>8.4641255605381165</v>
      </c>
      <c r="K419" s="131">
        <f t="shared" si="263"/>
        <v>7.7453550666818654</v>
      </c>
      <c r="L419" s="131">
        <f t="shared" si="263"/>
        <v>6.9950586781964175</v>
      </c>
      <c r="M419" s="131">
        <f t="shared" si="263"/>
        <v>6.1823309980893457</v>
      </c>
      <c r="N419" s="131">
        <f t="shared" si="263"/>
        <v>5.2758259249194461</v>
      </c>
    </row>
    <row r="420" spans="1:16" x14ac:dyDescent="0.25">
      <c r="A420" s="118"/>
      <c r="B420" s="130"/>
      <c r="C420" s="123"/>
      <c r="D420" s="121"/>
      <c r="E420" s="121"/>
      <c r="F420" s="121"/>
      <c r="G420" s="121"/>
      <c r="H420" s="121"/>
      <c r="I420" s="121"/>
      <c r="J420" s="121"/>
      <c r="K420" s="121"/>
      <c r="L420" s="121"/>
      <c r="M420" s="121"/>
      <c r="N420" s="121"/>
    </row>
    <row r="421" spans="1:16" x14ac:dyDescent="0.25">
      <c r="A421" t="s">
        <v>301</v>
      </c>
      <c r="B421" s="129"/>
      <c r="C421" s="15" t="s">
        <v>243</v>
      </c>
      <c r="D421" s="15" t="s">
        <v>233</v>
      </c>
      <c r="E421" s="15" t="s">
        <v>232</v>
      </c>
      <c r="F421" s="15" t="s">
        <v>234</v>
      </c>
      <c r="G421" s="15" t="s">
        <v>235</v>
      </c>
      <c r="H421" s="15" t="s">
        <v>236</v>
      </c>
      <c r="I421" s="15" t="s">
        <v>237</v>
      </c>
      <c r="J421" s="15" t="s">
        <v>238</v>
      </c>
      <c r="K421" s="15" t="s">
        <v>239</v>
      </c>
      <c r="L421" s="15" t="s">
        <v>240</v>
      </c>
      <c r="M421" s="15" t="s">
        <v>241</v>
      </c>
      <c r="N421" s="15" t="s">
        <v>242</v>
      </c>
      <c r="O421" s="121"/>
      <c r="P421" s="122"/>
    </row>
    <row r="422" spans="1:16" ht="14.4" x14ac:dyDescent="0.3">
      <c r="C422" s="123"/>
      <c r="D422" s="124">
        <f>VLOOKUP($A421,'KAVVV Records &amp; age-grading'!$A$3:$AF$28,20,FALSE)</f>
        <v>1.1136999999999999</v>
      </c>
      <c r="E422" s="124">
        <f>VLOOKUP($A421,'KAVVV Records &amp; age-grading'!$A$3:$AF$28,21,FALSE)</f>
        <v>1.2022999999999999</v>
      </c>
      <c r="F422" s="124">
        <f>VLOOKUP($A421,'KAVVV Records &amp; age-grading'!$A$3:$AF$28,22,FALSE)</f>
        <v>1.1720999999999999</v>
      </c>
      <c r="G422" s="124">
        <f>VLOOKUP($A421,'KAVVV Records &amp; age-grading'!$A$3:$AF$28,23,FALSE)</f>
        <v>1.2706</v>
      </c>
      <c r="H422" s="124">
        <f>VLOOKUP($A421,'KAVVV Records &amp; age-grading'!$A$3:$AF$28,24,FALSE)</f>
        <v>1.2482</v>
      </c>
      <c r="I422" s="124">
        <f>VLOOKUP($A421,'KAVVV Records &amp; age-grading'!$A$3:$AF$28,25,FALSE)</f>
        <v>1.3607</v>
      </c>
      <c r="J422" s="124">
        <f>VLOOKUP($A421,'KAVVV Records &amp; age-grading'!$A$3:$AF$28,26,FALSE)</f>
        <v>1.2806</v>
      </c>
      <c r="K422" s="124">
        <f>VLOOKUP($A421,'KAVVV Records &amp; age-grading'!$A$3:$AF$28,27,FALSE)</f>
        <v>1.3993</v>
      </c>
      <c r="L422" s="124">
        <f>VLOOKUP($A421,'KAVVV Records &amp; age-grading'!$A$3:$AF$28,28,FALSE)</f>
        <v>1.5053000000000001</v>
      </c>
      <c r="M422" s="124">
        <f>VLOOKUP($A421,'KAVVV Records &amp; age-grading'!$A$3:$AF$28,29,FALSE)</f>
        <v>1.6866000000000001</v>
      </c>
      <c r="N422" s="124">
        <f>VLOOKUP($A421,'KAVVV Records &amp; age-grading'!$A$3:$AF$28,30,FALSE)</f>
        <v>1.9535</v>
      </c>
      <c r="O422" s="116"/>
    </row>
    <row r="423" spans="1:16" x14ac:dyDescent="0.25">
      <c r="A423" s="118">
        <f>Puntenberekening!$Y$22</f>
        <v>-0.45</v>
      </c>
      <c r="B423" s="130">
        <v>6</v>
      </c>
      <c r="C423" s="8">
        <f>C428*(1+$A423)</f>
        <v>9.6140000000000008</v>
      </c>
      <c r="D423" s="131">
        <f t="shared" ref="D423:N423" si="264">$C423/D422</f>
        <v>8.6324863069049123</v>
      </c>
      <c r="E423" s="131">
        <f t="shared" si="264"/>
        <v>7.9963403476669725</v>
      </c>
      <c r="F423" s="131">
        <f t="shared" si="264"/>
        <v>8.202371811278903</v>
      </c>
      <c r="G423" s="131">
        <f t="shared" si="264"/>
        <v>7.5665040138517243</v>
      </c>
      <c r="H423" s="131">
        <f t="shared" si="264"/>
        <v>7.7022912994712396</v>
      </c>
      <c r="I423" s="131">
        <f t="shared" si="264"/>
        <v>7.0654810024252228</v>
      </c>
      <c r="J423" s="131">
        <f t="shared" si="264"/>
        <v>7.5074183976261137</v>
      </c>
      <c r="K423" s="131">
        <f t="shared" si="264"/>
        <v>6.8705781462159656</v>
      </c>
      <c r="L423" s="131">
        <f t="shared" si="264"/>
        <v>6.3867667574569857</v>
      </c>
      <c r="M423" s="131">
        <f t="shared" si="264"/>
        <v>5.7002253053480372</v>
      </c>
      <c r="N423" s="131">
        <f t="shared" si="264"/>
        <v>4.9214230867673407</v>
      </c>
      <c r="O423" s="116"/>
    </row>
    <row r="424" spans="1:16" x14ac:dyDescent="0.25">
      <c r="A424" s="118">
        <f>Puntenberekening!$Y$21</f>
        <v>-0.33</v>
      </c>
      <c r="B424" s="130">
        <v>7</v>
      </c>
      <c r="C424" s="8">
        <f>C428*(1+$A424)</f>
        <v>11.711599999999999</v>
      </c>
      <c r="D424" s="131">
        <f t="shared" ref="D424:N424" si="265">$C424/D422</f>
        <v>10.515937864775074</v>
      </c>
      <c r="E424" s="131">
        <f t="shared" si="265"/>
        <v>9.7409964235215831</v>
      </c>
      <c r="F424" s="131">
        <f t="shared" si="265"/>
        <v>9.9919802064670247</v>
      </c>
      <c r="G424" s="131">
        <f t="shared" si="265"/>
        <v>9.2173776168739181</v>
      </c>
      <c r="H424" s="131">
        <f t="shared" si="265"/>
        <v>9.3827912193558713</v>
      </c>
      <c r="I424" s="131">
        <f t="shared" si="265"/>
        <v>8.607040493863451</v>
      </c>
      <c r="J424" s="131">
        <f t="shared" si="265"/>
        <v>9.145400593471809</v>
      </c>
      <c r="K424" s="131">
        <f t="shared" si="265"/>
        <v>8.369613378117629</v>
      </c>
      <c r="L424" s="131">
        <f t="shared" si="265"/>
        <v>7.7802431409021446</v>
      </c>
      <c r="M424" s="131">
        <f t="shared" si="265"/>
        <v>6.9439108265148812</v>
      </c>
      <c r="N424" s="131">
        <f t="shared" si="265"/>
        <v>5.9951881238802143</v>
      </c>
      <c r="O424" s="116"/>
    </row>
    <row r="425" spans="1:16" x14ac:dyDescent="0.25">
      <c r="A425" s="118">
        <f>Puntenberekening!$Y$20</f>
        <v>-0.22500000000000001</v>
      </c>
      <c r="B425" s="130">
        <v>8</v>
      </c>
      <c r="C425" s="8">
        <f>C428*(1+$A425)</f>
        <v>13.547000000000001</v>
      </c>
      <c r="D425" s="131">
        <f t="shared" ref="D425:N425" si="266">$C425/D422</f>
        <v>12.163957977911467</v>
      </c>
      <c r="E425" s="131">
        <f t="shared" si="266"/>
        <v>11.26757048989437</v>
      </c>
      <c r="F425" s="131">
        <f t="shared" si="266"/>
        <v>11.557887552256634</v>
      </c>
      <c r="G425" s="131">
        <f t="shared" si="266"/>
        <v>10.661892019518339</v>
      </c>
      <c r="H425" s="131">
        <f t="shared" si="266"/>
        <v>10.853228649254929</v>
      </c>
      <c r="I425" s="131">
        <f t="shared" si="266"/>
        <v>9.9559050488719052</v>
      </c>
      <c r="J425" s="131">
        <f t="shared" si="266"/>
        <v>10.578635014836797</v>
      </c>
      <c r="K425" s="131">
        <f t="shared" si="266"/>
        <v>9.6812692060315886</v>
      </c>
      <c r="L425" s="131">
        <f t="shared" si="266"/>
        <v>8.9995349764166619</v>
      </c>
      <c r="M425" s="131">
        <f t="shared" si="266"/>
        <v>8.0321356575358713</v>
      </c>
      <c r="N425" s="131">
        <f t="shared" si="266"/>
        <v>6.9347325313539807</v>
      </c>
      <c r="O425" s="116"/>
    </row>
    <row r="426" spans="1:16" x14ac:dyDescent="0.25">
      <c r="A426" s="118">
        <f>Puntenberekening!$Y$19</f>
        <v>-0.13500000000000001</v>
      </c>
      <c r="B426" s="130">
        <v>9</v>
      </c>
      <c r="C426" s="8">
        <f>C428*(1+$A426)</f>
        <v>15.120200000000001</v>
      </c>
      <c r="D426" s="131">
        <f t="shared" ref="D426:N426" si="267">$C426/D422</f>
        <v>13.576546646314089</v>
      </c>
      <c r="E426" s="131">
        <f t="shared" si="267"/>
        <v>12.57606254678533</v>
      </c>
      <c r="F426" s="131">
        <f t="shared" si="267"/>
        <v>12.900093848647728</v>
      </c>
      <c r="G426" s="131">
        <f t="shared" si="267"/>
        <v>11.900047221784984</v>
      </c>
      <c r="H426" s="131">
        <f t="shared" si="267"/>
        <v>12.113603589168402</v>
      </c>
      <c r="I426" s="131">
        <f t="shared" si="267"/>
        <v>11.112074667450576</v>
      </c>
      <c r="J426" s="131">
        <f t="shared" si="267"/>
        <v>11.807121661721069</v>
      </c>
      <c r="K426" s="131">
        <f t="shared" si="267"/>
        <v>10.805545629957837</v>
      </c>
      <c r="L426" s="131">
        <f t="shared" si="267"/>
        <v>10.044642264000531</v>
      </c>
      <c r="M426" s="131">
        <f t="shared" si="267"/>
        <v>8.9648997984110039</v>
      </c>
      <c r="N426" s="131">
        <f t="shared" si="267"/>
        <v>7.7400563091886356</v>
      </c>
      <c r="O426" s="116"/>
    </row>
    <row r="427" spans="1:16" x14ac:dyDescent="0.25">
      <c r="A427" s="118">
        <f>Puntenberekening!$Y$18</f>
        <v>-0.06</v>
      </c>
      <c r="B427" s="130">
        <v>10</v>
      </c>
      <c r="C427" s="8">
        <f>C428*(1+$A427)</f>
        <v>16.4312</v>
      </c>
      <c r="D427" s="131">
        <f t="shared" ref="D427:N427" si="268">$C427/D422</f>
        <v>14.753703869982941</v>
      </c>
      <c r="E427" s="131">
        <f t="shared" si="268"/>
        <v>13.666472594194461</v>
      </c>
      <c r="F427" s="131">
        <f t="shared" si="268"/>
        <v>14.018599095640305</v>
      </c>
      <c r="G427" s="131">
        <f t="shared" si="268"/>
        <v>12.931843223673855</v>
      </c>
      <c r="H427" s="131">
        <f t="shared" si="268"/>
        <v>13.1639160390963</v>
      </c>
      <c r="I427" s="131">
        <f t="shared" si="268"/>
        <v>12.075549349599472</v>
      </c>
      <c r="J427" s="131">
        <f t="shared" si="268"/>
        <v>12.83086053412463</v>
      </c>
      <c r="K427" s="131">
        <f t="shared" si="268"/>
        <v>11.742442649896377</v>
      </c>
      <c r="L427" s="131">
        <f t="shared" si="268"/>
        <v>10.915565003653757</v>
      </c>
      <c r="M427" s="131">
        <f t="shared" si="268"/>
        <v>9.7422032491402817</v>
      </c>
      <c r="N427" s="131">
        <f t="shared" si="268"/>
        <v>8.4111594573841817</v>
      </c>
      <c r="O427" s="116"/>
    </row>
    <row r="428" spans="1:16" x14ac:dyDescent="0.25">
      <c r="A428" s="118">
        <f>Puntenberekening!$Y$17</f>
        <v>0</v>
      </c>
      <c r="B428" s="130">
        <v>11</v>
      </c>
      <c r="C428" s="132">
        <f>VLOOKUP(A421,'KAVVV Records &amp; age-grading'!$A$3:$C$28,3,FALSE)</f>
        <v>17.48</v>
      </c>
      <c r="D428" s="131">
        <f t="shared" ref="D428:N428" si="269">$C428/D422</f>
        <v>15.695429648918022</v>
      </c>
      <c r="E428" s="131">
        <f t="shared" si="269"/>
        <v>14.538800632121768</v>
      </c>
      <c r="F428" s="131">
        <f t="shared" si="269"/>
        <v>14.913403293234367</v>
      </c>
      <c r="G428" s="131">
        <f t="shared" si="269"/>
        <v>13.757280025184953</v>
      </c>
      <c r="H428" s="131">
        <f t="shared" si="269"/>
        <v>14.004165999038616</v>
      </c>
      <c r="I428" s="131">
        <f t="shared" si="269"/>
        <v>12.846329095318586</v>
      </c>
      <c r="J428" s="131">
        <f t="shared" si="269"/>
        <v>13.649851632047479</v>
      </c>
      <c r="K428" s="131">
        <f t="shared" si="269"/>
        <v>12.49196026584721</v>
      </c>
      <c r="L428" s="131">
        <f t="shared" si="269"/>
        <v>11.612303195376336</v>
      </c>
      <c r="M428" s="131">
        <f t="shared" si="269"/>
        <v>10.364046009723705</v>
      </c>
      <c r="N428" s="131">
        <f t="shared" si="269"/>
        <v>8.9480419759406189</v>
      </c>
    </row>
    <row r="429" spans="1:16" x14ac:dyDescent="0.25">
      <c r="A429" s="118"/>
      <c r="B429" s="130"/>
      <c r="C429" s="123"/>
      <c r="D429" s="121"/>
      <c r="E429" s="121"/>
      <c r="F429" s="121"/>
      <c r="G429" s="121"/>
      <c r="H429" s="121"/>
      <c r="I429" s="121"/>
      <c r="J429" s="121"/>
      <c r="K429" s="121"/>
      <c r="L429" s="121"/>
      <c r="M429" s="121"/>
      <c r="N429" s="121"/>
    </row>
    <row r="430" spans="1:16" x14ac:dyDescent="0.25">
      <c r="A430" t="s">
        <v>300</v>
      </c>
      <c r="B430" s="129"/>
      <c r="C430" s="15" t="s">
        <v>243</v>
      </c>
      <c r="D430" s="15" t="s">
        <v>233</v>
      </c>
      <c r="E430" s="15" t="s">
        <v>232</v>
      </c>
      <c r="F430" s="15" t="s">
        <v>234</v>
      </c>
      <c r="G430" s="15" t="s">
        <v>235</v>
      </c>
      <c r="H430" s="15" t="s">
        <v>236</v>
      </c>
      <c r="I430" s="15" t="s">
        <v>237</v>
      </c>
      <c r="J430" s="15" t="s">
        <v>238</v>
      </c>
      <c r="K430" s="15" t="s">
        <v>239</v>
      </c>
      <c r="L430" s="15" t="s">
        <v>240</v>
      </c>
      <c r="M430" s="15" t="s">
        <v>241</v>
      </c>
      <c r="N430" s="15" t="s">
        <v>242</v>
      </c>
      <c r="O430" s="121"/>
      <c r="P430" s="122"/>
    </row>
    <row r="431" spans="1:16" ht="14.4" x14ac:dyDescent="0.3">
      <c r="C431" s="123"/>
      <c r="D431" s="124">
        <f>VLOOKUP($A430,'KAVVV Records &amp; age-grading'!$A$3:$AF$28,20,FALSE)</f>
        <v>1.0862000000000001</v>
      </c>
      <c r="E431" s="124">
        <f>VLOOKUP($A430,'KAVVV Records &amp; age-grading'!$A$3:$AF$28,21,FALSE)</f>
        <v>1.1716</v>
      </c>
      <c r="F431" s="124">
        <f>VLOOKUP($A430,'KAVVV Records &amp; age-grading'!$A$3:$AF$28,22,FALSE)</f>
        <v>1.2278</v>
      </c>
      <c r="G431" s="124">
        <f>VLOOKUP($A430,'KAVVV Records &amp; age-grading'!$A$3:$AF$28,23,FALSE)</f>
        <v>1.3380000000000001</v>
      </c>
      <c r="H431" s="124">
        <f>VLOOKUP($A430,'KAVVV Records &amp; age-grading'!$A$3:$AF$28,24,FALSE)</f>
        <v>1.4139999999999999</v>
      </c>
      <c r="I431" s="124">
        <f>VLOOKUP($A430,'KAVVV Records &amp; age-grading'!$A$3:$AF$28,25,FALSE)</f>
        <v>1.5620000000000001</v>
      </c>
      <c r="J431" s="124">
        <f>VLOOKUP($A430,'KAVVV Records &amp; age-grading'!$A$3:$AF$28,26,FALSE)</f>
        <v>1.6800999999999999</v>
      </c>
      <c r="K431" s="124">
        <f>VLOOKUP($A430,'KAVVV Records &amp; age-grading'!$A$3:$AF$28,27,FALSE)</f>
        <v>1.8932</v>
      </c>
      <c r="L431" s="124">
        <f>VLOOKUP($A430,'KAVVV Records &amp; age-grading'!$A$3:$AF$28,28,FALSE)</f>
        <v>2.0952000000000002</v>
      </c>
      <c r="M431" s="124">
        <f>VLOOKUP($A430,'KAVVV Records &amp; age-grading'!$A$3:$AF$28,29,FALSE)</f>
        <v>2.4378000000000002</v>
      </c>
      <c r="N431" s="124">
        <f>VLOOKUP($A430,'KAVVV Records &amp; age-grading'!$A$3:$AF$28,30,FALSE)</f>
        <v>2.9137</v>
      </c>
      <c r="O431" s="116"/>
    </row>
    <row r="432" spans="1:16" x14ac:dyDescent="0.25">
      <c r="A432" s="118">
        <f>Puntenberekening!$Y$22</f>
        <v>-0.45</v>
      </c>
      <c r="B432" s="130">
        <v>6</v>
      </c>
      <c r="C432" s="8">
        <f>C437*(1+$A432)</f>
        <v>28.215</v>
      </c>
      <c r="D432" s="131">
        <f t="shared" ref="D432:N432" si="270">$C432/D431</f>
        <v>25.975879211931503</v>
      </c>
      <c r="E432" s="131">
        <f t="shared" si="270"/>
        <v>24.082451348583135</v>
      </c>
      <c r="F432" s="131">
        <f t="shared" si="270"/>
        <v>22.980127056523862</v>
      </c>
      <c r="G432" s="131">
        <f t="shared" si="270"/>
        <v>21.087443946188341</v>
      </c>
      <c r="H432" s="131">
        <f t="shared" si="270"/>
        <v>19.954031117397456</v>
      </c>
      <c r="I432" s="131">
        <f t="shared" si="270"/>
        <v>18.06338028169014</v>
      </c>
      <c r="J432" s="131">
        <f t="shared" si="270"/>
        <v>16.793643235521696</v>
      </c>
      <c r="K432" s="131">
        <f t="shared" si="270"/>
        <v>14.903338263257975</v>
      </c>
      <c r="L432" s="131">
        <f t="shared" si="270"/>
        <v>13.466494845360824</v>
      </c>
      <c r="M432" s="131">
        <f t="shared" si="270"/>
        <v>11.573960127984247</v>
      </c>
      <c r="N432" s="131">
        <f t="shared" si="270"/>
        <v>9.6835638535195798</v>
      </c>
      <c r="O432" s="116"/>
    </row>
    <row r="433" spans="1:16" x14ac:dyDescent="0.25">
      <c r="A433" s="118">
        <f>Puntenberekening!$Y$21</f>
        <v>-0.33</v>
      </c>
      <c r="B433" s="130">
        <v>7</v>
      </c>
      <c r="C433" s="8">
        <f>C437*(1+$A433)</f>
        <v>34.370999999999995</v>
      </c>
      <c r="D433" s="131">
        <f t="shared" ref="D433:N433" si="271">$C433/D431</f>
        <v>31.643343767262007</v>
      </c>
      <c r="E433" s="131">
        <f t="shared" si="271"/>
        <v>29.336804370092178</v>
      </c>
      <c r="F433" s="131">
        <f t="shared" si="271"/>
        <v>27.993972959765429</v>
      </c>
      <c r="G433" s="131">
        <f t="shared" si="271"/>
        <v>25.688340807174882</v>
      </c>
      <c r="H433" s="131">
        <f t="shared" si="271"/>
        <v>24.307637906647805</v>
      </c>
      <c r="I433" s="131">
        <f t="shared" si="271"/>
        <v>22.004481434058896</v>
      </c>
      <c r="J433" s="131">
        <f t="shared" si="271"/>
        <v>20.457710850544608</v>
      </c>
      <c r="K433" s="131">
        <f t="shared" si="271"/>
        <v>18.15497570251426</v>
      </c>
      <c r="L433" s="131">
        <f t="shared" si="271"/>
        <v>16.404639175257728</v>
      </c>
      <c r="M433" s="131">
        <f t="shared" si="271"/>
        <v>14.099187792271717</v>
      </c>
      <c r="N433" s="131">
        <f t="shared" si="271"/>
        <v>11.796341421560214</v>
      </c>
      <c r="O433" s="116"/>
    </row>
    <row r="434" spans="1:16" x14ac:dyDescent="0.25">
      <c r="A434" s="118">
        <f>Puntenberekening!$Y$20</f>
        <v>-0.22500000000000001</v>
      </c>
      <c r="B434" s="130">
        <v>8</v>
      </c>
      <c r="C434" s="8">
        <f>C437*(1+$A434)</f>
        <v>39.7575</v>
      </c>
      <c r="D434" s="131">
        <f t="shared" ref="D434:N434" si="272">$C434/D431</f>
        <v>36.602375253176206</v>
      </c>
      <c r="E434" s="131">
        <f t="shared" si="272"/>
        <v>33.934363263912601</v>
      </c>
      <c r="F434" s="131">
        <f t="shared" si="272"/>
        <v>32.381088125101812</v>
      </c>
      <c r="G434" s="131">
        <f t="shared" si="272"/>
        <v>29.714125560538115</v>
      </c>
      <c r="H434" s="131">
        <f t="shared" si="272"/>
        <v>28.11704384724187</v>
      </c>
      <c r="I434" s="131">
        <f t="shared" si="272"/>
        <v>25.45294494238156</v>
      </c>
      <c r="J434" s="131">
        <f t="shared" si="272"/>
        <v>23.663770013689664</v>
      </c>
      <c r="K434" s="131">
        <f t="shared" si="272"/>
        <v>21.00015846186351</v>
      </c>
      <c r="L434" s="131">
        <f t="shared" si="272"/>
        <v>18.975515463917525</v>
      </c>
      <c r="M434" s="131">
        <f t="shared" si="272"/>
        <v>16.308761998523259</v>
      </c>
      <c r="N434" s="131">
        <f t="shared" si="272"/>
        <v>13.645021793595772</v>
      </c>
      <c r="O434" s="116"/>
    </row>
    <row r="435" spans="1:16" x14ac:dyDescent="0.25">
      <c r="A435" s="118">
        <f>Puntenberekening!$Y$19</f>
        <v>-0.13500000000000001</v>
      </c>
      <c r="B435" s="130">
        <v>9</v>
      </c>
      <c r="C435" s="8">
        <f>C437*(1+$A435)</f>
        <v>44.374499999999998</v>
      </c>
      <c r="D435" s="131">
        <f t="shared" ref="D435:N435" si="273">$C435/D431</f>
        <v>40.852973669674085</v>
      </c>
      <c r="E435" s="131">
        <f t="shared" si="273"/>
        <v>37.87512803004438</v>
      </c>
      <c r="F435" s="131">
        <f t="shared" si="273"/>
        <v>36.141472552532981</v>
      </c>
      <c r="G435" s="131">
        <f t="shared" si="273"/>
        <v>33.164798206278022</v>
      </c>
      <c r="H435" s="131">
        <f t="shared" si="273"/>
        <v>31.382248939179632</v>
      </c>
      <c r="I435" s="131">
        <f t="shared" si="273"/>
        <v>28.408770806658129</v>
      </c>
      <c r="J435" s="131">
        <f t="shared" si="273"/>
        <v>26.411820724956847</v>
      </c>
      <c r="K435" s="131">
        <f t="shared" si="273"/>
        <v>23.438886541305724</v>
      </c>
      <c r="L435" s="131">
        <f t="shared" si="273"/>
        <v>21.179123711340203</v>
      </c>
      <c r="M435" s="131">
        <f t="shared" si="273"/>
        <v>18.202682746738862</v>
      </c>
      <c r="N435" s="131">
        <f t="shared" si="273"/>
        <v>15.229604969626248</v>
      </c>
      <c r="O435" s="116"/>
    </row>
    <row r="436" spans="1:16" x14ac:dyDescent="0.25">
      <c r="A436" s="118">
        <f>Puntenberekening!$Y$18</f>
        <v>-0.06</v>
      </c>
      <c r="B436" s="130">
        <v>10</v>
      </c>
      <c r="C436" s="8">
        <f>C437*(1+$A436)</f>
        <v>48.221999999999994</v>
      </c>
      <c r="D436" s="131">
        <f t="shared" ref="D436:N436" si="274">$C436/D431</f>
        <v>44.395139016755657</v>
      </c>
      <c r="E436" s="131">
        <f t="shared" si="274"/>
        <v>41.159098668487538</v>
      </c>
      <c r="F436" s="131">
        <f t="shared" si="274"/>
        <v>39.27512624205896</v>
      </c>
      <c r="G436" s="131">
        <f t="shared" si="274"/>
        <v>36.040358744394609</v>
      </c>
      <c r="H436" s="131">
        <f t="shared" si="274"/>
        <v>34.103253182461103</v>
      </c>
      <c r="I436" s="131">
        <f t="shared" si="274"/>
        <v>30.8719590268886</v>
      </c>
      <c r="J436" s="131">
        <f t="shared" si="274"/>
        <v>28.701862984346167</v>
      </c>
      <c r="K436" s="131">
        <f t="shared" si="274"/>
        <v>25.471159940840902</v>
      </c>
      <c r="L436" s="131">
        <f t="shared" si="274"/>
        <v>23.015463917525768</v>
      </c>
      <c r="M436" s="131">
        <f t="shared" si="274"/>
        <v>19.780950036918529</v>
      </c>
      <c r="N436" s="131">
        <f t="shared" si="274"/>
        <v>16.550090949651644</v>
      </c>
      <c r="O436" s="116"/>
    </row>
    <row r="437" spans="1:16" x14ac:dyDescent="0.25">
      <c r="A437" s="118">
        <f>Puntenberekening!$Y$17</f>
        <v>0</v>
      </c>
      <c r="B437" s="130">
        <v>11</v>
      </c>
      <c r="C437" s="132">
        <f>VLOOKUP(A430,'KAVVV Records &amp; age-grading'!$A$3:$C$28,3,FALSE)</f>
        <v>51.3</v>
      </c>
      <c r="D437" s="131">
        <f t="shared" ref="D437:N437" si="275">$C437/D431</f>
        <v>47.228871294420912</v>
      </c>
      <c r="E437" s="131">
        <f t="shared" si="275"/>
        <v>43.786275179242061</v>
      </c>
      <c r="F437" s="131">
        <f t="shared" si="275"/>
        <v>41.782049193679747</v>
      </c>
      <c r="G437" s="131">
        <f t="shared" si="275"/>
        <v>38.340807174887885</v>
      </c>
      <c r="H437" s="131">
        <f t="shared" si="275"/>
        <v>36.280056577086278</v>
      </c>
      <c r="I437" s="131">
        <f t="shared" si="275"/>
        <v>32.842509603072983</v>
      </c>
      <c r="J437" s="131">
        <f t="shared" si="275"/>
        <v>30.533896791857629</v>
      </c>
      <c r="K437" s="131">
        <f t="shared" si="275"/>
        <v>27.096978660469045</v>
      </c>
      <c r="L437" s="131">
        <f t="shared" si="275"/>
        <v>24.484536082474225</v>
      </c>
      <c r="M437" s="131">
        <f t="shared" si="275"/>
        <v>21.043563869062268</v>
      </c>
      <c r="N437" s="131">
        <f t="shared" si="275"/>
        <v>17.606479733671964</v>
      </c>
    </row>
    <row r="438" spans="1:16" x14ac:dyDescent="0.25">
      <c r="A438" s="118"/>
      <c r="B438" s="130"/>
      <c r="C438" s="123"/>
      <c r="D438" s="121"/>
      <c r="E438" s="121"/>
      <c r="F438" s="121"/>
      <c r="G438" s="121"/>
      <c r="H438" s="121"/>
      <c r="I438" s="121"/>
      <c r="J438" s="121"/>
      <c r="K438" s="121"/>
      <c r="L438" s="121"/>
      <c r="M438" s="121"/>
      <c r="N438" s="121"/>
    </row>
    <row r="439" spans="1:16" x14ac:dyDescent="0.25">
      <c r="A439" t="s">
        <v>302</v>
      </c>
      <c r="B439" s="129"/>
      <c r="C439" s="15" t="s">
        <v>243</v>
      </c>
      <c r="D439" s="15" t="s">
        <v>233</v>
      </c>
      <c r="E439" s="15" t="s">
        <v>232</v>
      </c>
      <c r="F439" s="15" t="s">
        <v>234</v>
      </c>
      <c r="G439" s="15" t="s">
        <v>235</v>
      </c>
      <c r="H439" s="15" t="s">
        <v>236</v>
      </c>
      <c r="I439" s="15" t="s">
        <v>237</v>
      </c>
      <c r="J439" s="15" t="s">
        <v>238</v>
      </c>
      <c r="K439" s="15" t="s">
        <v>239</v>
      </c>
      <c r="L439" s="15" t="s">
        <v>240</v>
      </c>
      <c r="M439" s="15" t="s">
        <v>241</v>
      </c>
      <c r="N439" s="15" t="s">
        <v>242</v>
      </c>
      <c r="O439" s="121"/>
      <c r="P439" s="122"/>
    </row>
    <row r="440" spans="1:16" ht="14.4" x14ac:dyDescent="0.3">
      <c r="C440" s="123"/>
      <c r="D440" s="124">
        <f>VLOOKUP($A439,'KAVVV Records &amp; age-grading'!$A$3:$AF$28,20,FALSE)</f>
        <v>1.1013999999999999</v>
      </c>
      <c r="E440" s="124">
        <f>VLOOKUP($A439,'KAVVV Records &amp; age-grading'!$A$3:$AF$28,21,FALSE)</f>
        <v>1.2049000000000001</v>
      </c>
      <c r="F440" s="124">
        <f>VLOOKUP($A439,'KAVVV Records &amp; age-grading'!$A$3:$AF$28,22,FALSE)</f>
        <v>1.0218</v>
      </c>
      <c r="G440" s="124">
        <f>VLOOKUP($A439,'KAVVV Records &amp; age-grading'!$A$3:$AF$28,23,FALSE)</f>
        <v>1.1103000000000001</v>
      </c>
      <c r="H440" s="124">
        <f>VLOOKUP($A439,'KAVVV Records &amp; age-grading'!$A$3:$AF$28,24,FALSE)</f>
        <v>1.0628</v>
      </c>
      <c r="I440" s="124">
        <f>VLOOKUP($A439,'KAVVV Records &amp; age-grading'!$A$3:$AF$28,25,FALSE)</f>
        <v>1.1637</v>
      </c>
      <c r="J440" s="124">
        <f>VLOOKUP($A439,'KAVVV Records &amp; age-grading'!$A$3:$AF$28,26,FALSE)</f>
        <v>1.2781</v>
      </c>
      <c r="K440" s="124">
        <f>VLOOKUP($A439,'KAVVV Records &amp; age-grading'!$A$3:$AF$28,27,FALSE)</f>
        <v>1.4332</v>
      </c>
      <c r="L440" s="124">
        <f>VLOOKUP($A439,'KAVVV Records &amp; age-grading'!$A$3:$AF$28,28,FALSE)</f>
        <v>1.6440999999999999</v>
      </c>
      <c r="M440" s="124">
        <f>VLOOKUP($A439,'KAVVV Records &amp; age-grading'!$A$3:$AF$28,29,FALSE)</f>
        <v>1.9508000000000001</v>
      </c>
      <c r="N440" s="124">
        <f>VLOOKUP($A439,'KAVVV Records &amp; age-grading'!$A$3:$AF$28,30,FALSE)</f>
        <v>2.4401999999999999</v>
      </c>
      <c r="O440" s="116"/>
    </row>
    <row r="441" spans="1:16" x14ac:dyDescent="0.25">
      <c r="A441" s="118">
        <f>Puntenberekening!$Y$22</f>
        <v>-0.45</v>
      </c>
      <c r="B441" s="130">
        <v>6</v>
      </c>
      <c r="C441" s="8">
        <f>C446*(1+$A441)</f>
        <v>24.772000000000002</v>
      </c>
      <c r="D441" s="131">
        <f t="shared" ref="D441:N441" si="276">$C441/D440</f>
        <v>22.491374614127476</v>
      </c>
      <c r="E441" s="131">
        <f t="shared" si="276"/>
        <v>20.55938252137107</v>
      </c>
      <c r="F441" s="131">
        <f t="shared" si="276"/>
        <v>24.243491877079663</v>
      </c>
      <c r="G441" s="131">
        <f t="shared" si="276"/>
        <v>22.311087093578312</v>
      </c>
      <c r="H441" s="131">
        <f t="shared" si="276"/>
        <v>23.308242378622509</v>
      </c>
      <c r="I441" s="131">
        <f t="shared" si="276"/>
        <v>21.28727335223855</v>
      </c>
      <c r="J441" s="131">
        <f t="shared" si="276"/>
        <v>19.381895000391207</v>
      </c>
      <c r="K441" s="131">
        <f t="shared" si="276"/>
        <v>17.284398548702207</v>
      </c>
      <c r="L441" s="131">
        <f t="shared" si="276"/>
        <v>15.067210023721188</v>
      </c>
      <c r="M441" s="131">
        <f t="shared" si="276"/>
        <v>12.698380151732623</v>
      </c>
      <c r="N441" s="131">
        <f t="shared" si="276"/>
        <v>10.151626915826572</v>
      </c>
      <c r="O441" s="116"/>
    </row>
    <row r="442" spans="1:16" x14ac:dyDescent="0.25">
      <c r="A442" s="118">
        <f>Puntenberekening!$Y$21</f>
        <v>-0.33</v>
      </c>
      <c r="B442" s="130">
        <v>7</v>
      </c>
      <c r="C442" s="8">
        <f>C446*(1+$A442)</f>
        <v>30.176799999999997</v>
      </c>
      <c r="D442" s="131">
        <f t="shared" ref="D442:N442" si="277">$C442/D440</f>
        <v>27.398583620846193</v>
      </c>
      <c r="E442" s="131">
        <f t="shared" si="277"/>
        <v>25.045065980579295</v>
      </c>
      <c r="F442" s="131">
        <f t="shared" si="277"/>
        <v>29.532981013897039</v>
      </c>
      <c r="G442" s="131">
        <f t="shared" si="277"/>
        <v>27.17896064126812</v>
      </c>
      <c r="H442" s="131">
        <f t="shared" si="277"/>
        <v>28.393677079412868</v>
      </c>
      <c r="I442" s="131">
        <f t="shared" si="277"/>
        <v>25.931769356363322</v>
      </c>
      <c r="J442" s="131">
        <f t="shared" si="277"/>
        <v>23.610672091385648</v>
      </c>
      <c r="K442" s="131">
        <f t="shared" si="277"/>
        <v>21.05554005023723</v>
      </c>
      <c r="L442" s="131">
        <f t="shared" si="277"/>
        <v>18.354601301623987</v>
      </c>
      <c r="M442" s="131">
        <f t="shared" si="277"/>
        <v>15.468935821201557</v>
      </c>
      <c r="N442" s="131">
        <f t="shared" si="277"/>
        <v>12.366527333825095</v>
      </c>
      <c r="O442" s="116"/>
    </row>
    <row r="443" spans="1:16" x14ac:dyDescent="0.25">
      <c r="A443" s="118">
        <f>Puntenberekening!$Y$20</f>
        <v>-0.22500000000000001</v>
      </c>
      <c r="B443" s="130">
        <v>8</v>
      </c>
      <c r="C443" s="8">
        <f>C446*(1+$A443)</f>
        <v>34.905999999999999</v>
      </c>
      <c r="D443" s="131">
        <f t="shared" ref="D443:N443" si="278">$C443/D440</f>
        <v>31.692391501725076</v>
      </c>
      <c r="E443" s="131">
        <f t="shared" si="278"/>
        <v>28.970039007386504</v>
      </c>
      <c r="F443" s="131">
        <f t="shared" si="278"/>
        <v>34.161284008612249</v>
      </c>
      <c r="G443" s="131">
        <f t="shared" si="278"/>
        <v>31.438349995496711</v>
      </c>
      <c r="H443" s="131">
        <f t="shared" si="278"/>
        <v>32.843432442604438</v>
      </c>
      <c r="I443" s="131">
        <f t="shared" si="278"/>
        <v>29.995703359972502</v>
      </c>
      <c r="J443" s="131">
        <f t="shared" si="278"/>
        <v>27.310852046005788</v>
      </c>
      <c r="K443" s="131">
        <f t="shared" si="278"/>
        <v>24.355288864080379</v>
      </c>
      <c r="L443" s="131">
        <f t="shared" si="278"/>
        <v>21.231068669788943</v>
      </c>
      <c r="M443" s="131">
        <f t="shared" si="278"/>
        <v>17.893172031986875</v>
      </c>
      <c r="N443" s="131">
        <f t="shared" si="278"/>
        <v>14.304565199573805</v>
      </c>
      <c r="O443" s="116"/>
    </row>
    <row r="444" spans="1:16" x14ac:dyDescent="0.25">
      <c r="A444" s="118">
        <f>Puntenberekening!$Y$19</f>
        <v>-0.13500000000000001</v>
      </c>
      <c r="B444" s="130">
        <v>9</v>
      </c>
      <c r="C444" s="8">
        <f>C446*(1+$A444)</f>
        <v>38.959600000000002</v>
      </c>
      <c r="D444" s="131">
        <f t="shared" ref="D444:N444" si="279">$C444/D440</f>
        <v>35.372798256764121</v>
      </c>
      <c r="E444" s="131">
        <f t="shared" si="279"/>
        <v>32.334301601792681</v>
      </c>
      <c r="F444" s="131">
        <f t="shared" si="279"/>
        <v>38.128400861225288</v>
      </c>
      <c r="G444" s="131">
        <f t="shared" si="279"/>
        <v>35.089255156264073</v>
      </c>
      <c r="H444" s="131">
        <f t="shared" si="279"/>
        <v>36.657508468197214</v>
      </c>
      <c r="I444" s="131">
        <f t="shared" si="279"/>
        <v>33.479075363066087</v>
      </c>
      <c r="J444" s="131">
        <f t="shared" si="279"/>
        <v>30.482434864251626</v>
      </c>
      <c r="K444" s="131">
        <f t="shared" si="279"/>
        <v>27.183644990231649</v>
      </c>
      <c r="L444" s="131">
        <f t="shared" si="279"/>
        <v>23.696612128216049</v>
      </c>
      <c r="M444" s="131">
        <f t="shared" si="279"/>
        <v>19.971088784088579</v>
      </c>
      <c r="N444" s="131">
        <f t="shared" si="279"/>
        <v>15.965740513072701</v>
      </c>
      <c r="O444" s="116"/>
    </row>
    <row r="445" spans="1:16" x14ac:dyDescent="0.25">
      <c r="A445" s="118">
        <f>Puntenberekening!$Y$18</f>
        <v>-0.06</v>
      </c>
      <c r="B445" s="130">
        <v>10</v>
      </c>
      <c r="C445" s="8">
        <f>C446*(1+$A445)</f>
        <v>42.337599999999995</v>
      </c>
      <c r="D445" s="131">
        <f t="shared" ref="D445:N445" si="280">$C445/D440</f>
        <v>38.439803885963315</v>
      </c>
      <c r="E445" s="131">
        <f t="shared" si="280"/>
        <v>35.137853763797821</v>
      </c>
      <c r="F445" s="131">
        <f t="shared" si="280"/>
        <v>41.434331571736145</v>
      </c>
      <c r="G445" s="131">
        <f t="shared" si="280"/>
        <v>38.131676123570202</v>
      </c>
      <c r="H445" s="131">
        <f t="shared" si="280"/>
        <v>39.835905156191188</v>
      </c>
      <c r="I445" s="131">
        <f t="shared" si="280"/>
        <v>36.381885365644067</v>
      </c>
      <c r="J445" s="131">
        <f t="shared" si="280"/>
        <v>33.125420546123145</v>
      </c>
      <c r="K445" s="131">
        <f t="shared" si="280"/>
        <v>29.540608428691037</v>
      </c>
      <c r="L445" s="131">
        <f t="shared" si="280"/>
        <v>25.751231676905295</v>
      </c>
      <c r="M445" s="131">
        <f t="shared" si="280"/>
        <v>21.702686077506659</v>
      </c>
      <c r="N445" s="131">
        <f t="shared" si="280"/>
        <v>17.350053274321777</v>
      </c>
      <c r="O445" s="116"/>
    </row>
    <row r="446" spans="1:16" x14ac:dyDescent="0.25">
      <c r="A446" s="118">
        <f>Puntenberekening!$Y$17</f>
        <v>0</v>
      </c>
      <c r="B446" s="130">
        <v>11</v>
      </c>
      <c r="C446" s="132">
        <f>VLOOKUP(A439,'KAVVV Records &amp; age-grading'!$A$3:$C$28,3,FALSE)</f>
        <v>45.04</v>
      </c>
      <c r="D446" s="131">
        <f t="shared" ref="D446:N446" si="281">$C446/D440</f>
        <v>40.89340838932268</v>
      </c>
      <c r="E446" s="131">
        <f t="shared" si="281"/>
        <v>37.380695493401937</v>
      </c>
      <c r="F446" s="131">
        <f t="shared" si="281"/>
        <v>44.079076140144842</v>
      </c>
      <c r="G446" s="131">
        <f t="shared" si="281"/>
        <v>40.565612897415107</v>
      </c>
      <c r="H446" s="131">
        <f t="shared" si="281"/>
        <v>42.378622506586375</v>
      </c>
      <c r="I446" s="131">
        <f t="shared" si="281"/>
        <v>38.704133367706454</v>
      </c>
      <c r="J446" s="131">
        <f t="shared" si="281"/>
        <v>35.239809091620373</v>
      </c>
      <c r="K446" s="131">
        <f t="shared" si="281"/>
        <v>31.426179179458554</v>
      </c>
      <c r="L446" s="131">
        <f t="shared" si="281"/>
        <v>27.394927315856702</v>
      </c>
      <c r="M446" s="131">
        <f t="shared" si="281"/>
        <v>23.087963912241129</v>
      </c>
      <c r="N446" s="131">
        <f t="shared" si="281"/>
        <v>18.457503483321041</v>
      </c>
    </row>
    <row r="447" spans="1:16" x14ac:dyDescent="0.25">
      <c r="A447" s="118"/>
      <c r="B447" s="130"/>
      <c r="C447" s="123"/>
      <c r="D447" s="121"/>
      <c r="E447" s="121"/>
      <c r="F447" s="121"/>
      <c r="G447" s="121"/>
      <c r="H447" s="121"/>
      <c r="I447" s="121"/>
      <c r="J447" s="121"/>
      <c r="K447" s="121"/>
      <c r="L447" s="121"/>
      <c r="M447" s="121"/>
      <c r="N447" s="121"/>
    </row>
  </sheetData>
  <sheetProtection algorithmName="SHA-512" hashValue="CS5KZNJMxmaA5ADXTk5uZ3jaXaJFYIHN25LCUzMKweydST43riGpXyE1WFZTVMQcwuprffDt3c4ZCYiI2MAVQA==" saltValue="rGiNhM/3MVN2pXnCiqrLwA==" spinCount="100000" sheet="1" objects="1" scenarios="1"/>
  <sortState xmlns:xlrd2="http://schemas.microsoft.com/office/spreadsheetml/2017/richdata2" ref="A234:P239">
    <sortCondition descending="1" ref="A234:A239"/>
  </sortState>
  <phoneticPr fontId="6" type="noConversion"/>
  <pageMargins left="0.25" right="0.25"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C0675-FEF2-4FFB-991D-DA40CBD51909}">
  <sheetPr>
    <pageSetUpPr fitToPage="1"/>
  </sheetPr>
  <dimension ref="B1:AM101"/>
  <sheetViews>
    <sheetView workbookViewId="0">
      <pane xSplit="1" ySplit="4" topLeftCell="B5" activePane="bottomRight" state="frozen"/>
      <selection pane="topRight" activeCell="B1" sqref="B1"/>
      <selection pane="bottomLeft" activeCell="A5" sqref="A5"/>
      <selection pane="bottomRight"/>
    </sheetView>
  </sheetViews>
  <sheetFormatPr defaultColWidth="3.44140625" defaultRowHeight="13.2" x14ac:dyDescent="0.25"/>
  <cols>
    <col min="1" max="1" width="3.44140625" style="138"/>
    <col min="2" max="2" width="10.77734375" style="138" customWidth="1"/>
    <col min="3" max="3" width="13" style="138" customWidth="1"/>
    <col min="4" max="4" width="10.33203125" style="138" customWidth="1"/>
    <col min="5" max="5" width="10.33203125" style="139" customWidth="1"/>
    <col min="6" max="6" width="10.33203125" style="138" customWidth="1"/>
    <col min="7" max="7" width="1.88671875" style="138" customWidth="1"/>
    <col min="8" max="8" width="8.88671875" style="138" bestFit="1" customWidth="1"/>
    <col min="9" max="9" width="10.6640625" style="138" bestFit="1" customWidth="1"/>
    <col min="10" max="10" width="11.21875" style="138" customWidth="1"/>
    <col min="11" max="11" width="3.44140625" style="138"/>
    <col min="12" max="12" width="7.21875" style="138" customWidth="1"/>
    <col min="13" max="13" width="3.44140625" style="139"/>
    <col min="14" max="19" width="10.88671875" style="139" customWidth="1"/>
    <col min="20" max="20" width="8.109375" style="138" hidden="1" customWidth="1"/>
    <col min="21" max="26" width="11.5546875" style="138" hidden="1" customWidth="1"/>
    <col min="27" max="27" width="5" style="138" hidden="1" customWidth="1"/>
    <col min="28" max="28" width="0" style="139" hidden="1" customWidth="1"/>
    <col min="29" max="36" width="3" style="138" hidden="1" customWidth="1"/>
    <col min="37" max="37" width="3.6640625" style="138" hidden="1" customWidth="1"/>
    <col min="38" max="38" width="8.109375" style="138" hidden="1" customWidth="1"/>
    <col min="39" max="39" width="12" style="139" hidden="1" customWidth="1"/>
    <col min="40" max="40" width="0" style="138" hidden="1" customWidth="1"/>
    <col min="41" max="16384" width="3.44140625" style="138"/>
  </cols>
  <sheetData>
    <row r="1" spans="2:39" ht="21" x14ac:dyDescent="0.25">
      <c r="B1" s="137" t="s">
        <v>378</v>
      </c>
    </row>
    <row r="2" spans="2:39" s="142" customFormat="1" x14ac:dyDescent="0.25">
      <c r="B2" s="140" t="s">
        <v>309</v>
      </c>
      <c r="C2" s="140" t="s">
        <v>308</v>
      </c>
      <c r="D2" s="140" t="s">
        <v>311</v>
      </c>
      <c r="E2" s="140" t="s">
        <v>312</v>
      </c>
      <c r="F2" s="140" t="s">
        <v>313</v>
      </c>
      <c r="G2" s="140"/>
      <c r="H2" s="140" t="s">
        <v>314</v>
      </c>
      <c r="I2" s="140" t="s">
        <v>9</v>
      </c>
      <c r="J2" s="140" t="s">
        <v>310</v>
      </c>
      <c r="K2" s="140"/>
      <c r="L2" s="140" t="s">
        <v>316</v>
      </c>
      <c r="M2" s="140"/>
      <c r="N2" s="141" t="s">
        <v>317</v>
      </c>
      <c r="O2" s="141" t="s">
        <v>318</v>
      </c>
      <c r="P2" s="141" t="s">
        <v>319</v>
      </c>
      <c r="Q2" s="141" t="s">
        <v>320</v>
      </c>
      <c r="R2" s="141" t="s">
        <v>321</v>
      </c>
      <c r="S2" s="141" t="s">
        <v>322</v>
      </c>
      <c r="T2" s="140"/>
      <c r="U2" s="140"/>
      <c r="V2" s="140"/>
      <c r="W2" s="140"/>
      <c r="X2" s="140"/>
      <c r="Y2" s="140"/>
      <c r="Z2" s="140"/>
      <c r="AB2" s="143"/>
      <c r="AM2" s="143"/>
    </row>
    <row r="3" spans="2:39" hidden="1" x14ac:dyDescent="0.25">
      <c r="B3" s="144"/>
      <c r="C3" s="144"/>
      <c r="D3" s="144"/>
      <c r="E3" s="144"/>
      <c r="F3" s="144"/>
      <c r="G3" s="144"/>
      <c r="H3" s="144"/>
      <c r="I3" s="144"/>
      <c r="J3" s="144"/>
      <c r="K3" s="144"/>
      <c r="L3" s="144"/>
      <c r="M3" s="144"/>
      <c r="N3" s="145">
        <v>11</v>
      </c>
      <c r="O3" s="145">
        <v>10</v>
      </c>
      <c r="P3" s="145">
        <v>9</v>
      </c>
      <c r="Q3" s="145">
        <v>8</v>
      </c>
      <c r="R3" s="145">
        <v>7</v>
      </c>
      <c r="S3" s="145">
        <v>6</v>
      </c>
      <c r="T3" s="144"/>
      <c r="U3" s="144">
        <v>11</v>
      </c>
      <c r="V3" s="144">
        <v>10</v>
      </c>
      <c r="W3" s="144">
        <v>9</v>
      </c>
      <c r="X3" s="144">
        <v>8</v>
      </c>
      <c r="Y3" s="144">
        <v>7</v>
      </c>
      <c r="Z3" s="144">
        <v>6</v>
      </c>
    </row>
    <row r="4" spans="2:39" hidden="1" x14ac:dyDescent="0.25">
      <c r="B4" s="144"/>
      <c r="C4" s="144"/>
      <c r="D4" s="144"/>
      <c r="E4" s="144"/>
      <c r="F4" s="144"/>
      <c r="G4" s="144"/>
      <c r="H4" s="144"/>
      <c r="I4" s="144"/>
      <c r="J4" s="144"/>
      <c r="K4" s="144"/>
      <c r="L4" s="144"/>
      <c r="M4" s="144"/>
      <c r="N4" s="146">
        <v>1</v>
      </c>
      <c r="O4" s="146">
        <f>Puntenberekening!E18</f>
        <v>1.04</v>
      </c>
      <c r="P4" s="146">
        <f>Puntenberekening!E19</f>
        <v>1.0900000000000001</v>
      </c>
      <c r="Q4" s="146">
        <f>Puntenberekening!E20</f>
        <v>1.1499999999999999</v>
      </c>
      <c r="R4" s="146">
        <f>Puntenberekening!E21</f>
        <v>1.22</v>
      </c>
      <c r="S4" s="146">
        <f>Puntenberekening!E22</f>
        <v>1.3</v>
      </c>
      <c r="T4" s="147"/>
      <c r="U4" s="147"/>
      <c r="V4" s="147"/>
      <c r="W4" s="147"/>
      <c r="X4" s="147"/>
      <c r="Y4" s="147"/>
      <c r="Z4" s="147"/>
    </row>
    <row r="5" spans="2:39" x14ac:dyDescent="0.25">
      <c r="AA5" s="162"/>
      <c r="AB5" s="163"/>
      <c r="AC5" s="164"/>
      <c r="AD5" s="165"/>
      <c r="AE5" s="166"/>
      <c r="AF5" s="164"/>
      <c r="AG5" s="165"/>
      <c r="AH5" s="166"/>
      <c r="AI5" s="163"/>
      <c r="AJ5" s="162"/>
      <c r="AK5" s="163"/>
      <c r="AL5" s="167"/>
      <c r="AM5" s="163"/>
    </row>
    <row r="6" spans="2:39" ht="22.8" x14ac:dyDescent="0.25">
      <c r="B6" s="135" t="s">
        <v>246</v>
      </c>
      <c r="C6" s="136">
        <v>25</v>
      </c>
      <c r="D6" s="136"/>
      <c r="E6" s="136">
        <v>33</v>
      </c>
      <c r="F6" s="136">
        <v>53</v>
      </c>
      <c r="G6" s="145"/>
      <c r="H6" s="148" t="str">
        <f>IF(C6="","",HLOOKUP(CONCATENATE("M",C6),'KAVVV Records &amp; age-grading'!$C$1:$Q$1,1,TRUE))</f>
        <v>M17</v>
      </c>
      <c r="I6" s="149">
        <f>IF(H6="","",HLOOKUP(H6,'KAVVV Records &amp; age-grading'!$C$1:$P$29,AA6+2,TRUE))</f>
        <v>2.5520833333333336E-4</v>
      </c>
      <c r="J6" s="150" t="str">
        <f>IF(AC6+AD6+AE6=0,"",CONCATENATE(AC6,":",AD6,",",AE6))</f>
        <v>0:33,53</v>
      </c>
      <c r="K6" s="144"/>
      <c r="L6" s="151">
        <f>IF(D6+E6+F6=0,"",HLOOKUP(AM6,U6:Z7,2,TRUE))</f>
        <v>5</v>
      </c>
      <c r="M6" s="152"/>
      <c r="N6" s="153">
        <f>IF($I6="","",N$4*$I6)</f>
        <v>2.5520833333333336E-4</v>
      </c>
      <c r="O6" s="153">
        <f t="shared" ref="O6:S8" si="0">IF($I6="","",O$4*$I6)</f>
        <v>2.6541666666666673E-4</v>
      </c>
      <c r="P6" s="153">
        <f t="shared" si="0"/>
        <v>2.781770833333334E-4</v>
      </c>
      <c r="Q6" s="153">
        <f t="shared" si="0"/>
        <v>2.9348958333333332E-4</v>
      </c>
      <c r="R6" s="153">
        <f t="shared" si="0"/>
        <v>3.113541666666667E-4</v>
      </c>
      <c r="S6" s="153">
        <f t="shared" si="0"/>
        <v>3.3177083333333339E-4</v>
      </c>
      <c r="T6" s="154">
        <v>0</v>
      </c>
      <c r="U6" s="155">
        <f>N6</f>
        <v>2.5520833333333336E-4</v>
      </c>
      <c r="V6" s="155">
        <f t="shared" ref="V6:Z6" si="1">O6</f>
        <v>2.6541666666666673E-4</v>
      </c>
      <c r="W6" s="155">
        <f t="shared" si="1"/>
        <v>2.781770833333334E-4</v>
      </c>
      <c r="X6" s="155">
        <f t="shared" si="1"/>
        <v>2.9348958333333332E-4</v>
      </c>
      <c r="Y6" s="155">
        <f t="shared" si="1"/>
        <v>3.113541666666667E-4</v>
      </c>
      <c r="Z6" s="155">
        <f t="shared" si="1"/>
        <v>3.3177083333333339E-4</v>
      </c>
      <c r="AA6" s="156">
        <f>VLOOKUP(B6,'KAVVV Records &amp; age-grading'!$A$3:$B$28,2,FALSE)</f>
        <v>3</v>
      </c>
      <c r="AB6" s="156"/>
      <c r="AC6" s="157">
        <f t="shared" ref="AC6:AC20" si="2">IF(B6&lt;10,CONCATENATE("0",D6),D6)</f>
        <v>0</v>
      </c>
      <c r="AD6" s="158">
        <f t="shared" ref="AD6:AD20" si="3">IF(E6&lt;10,CONCATENATE("0",E6),E6)</f>
        <v>33</v>
      </c>
      <c r="AE6" s="159">
        <f t="shared" ref="AE6:AE20" si="4">IF(F6&lt;10,CONCATENATE("0",F6),F6)</f>
        <v>53</v>
      </c>
      <c r="AF6" s="157">
        <f t="shared" ref="AF6:AF20" si="5">IF(AD6=0,IF(AE6=0,AC6-1,AC6),AC6)</f>
        <v>0</v>
      </c>
      <c r="AG6" s="158">
        <f t="shared" ref="AG6:AG20" si="6">IF(AE6="00",IF(AD6=0,59,AD6-1),AD6)</f>
        <v>33</v>
      </c>
      <c r="AH6" s="159">
        <f t="shared" ref="AH6:AH20" si="7">IF(AE6="00",99,AE6-1)</f>
        <v>52</v>
      </c>
      <c r="AI6" s="156" t="str">
        <f t="shared" ref="AI6:AI20" si="8">IF(AF6&lt;10,CONCATENATE("0",AF6),AF6)</f>
        <v>00</v>
      </c>
      <c r="AJ6" s="160">
        <f t="shared" ref="AJ6:AJ20" si="9">IF(AG6&lt;10,CONCATENATE("0",AG6),AG6)</f>
        <v>33</v>
      </c>
      <c r="AK6" s="156">
        <f t="shared" ref="AK6:AK20" si="10">IF(AH6&lt;10,CONCATENATE("0",AH6),AH6)</f>
        <v>52</v>
      </c>
      <c r="AL6" s="161" t="str">
        <f t="shared" ref="AL6:AL20" si="11">CONCATENATE(AI6,":",AJ6,",",AK6)</f>
        <v>00:33,52</v>
      </c>
      <c r="AM6" s="156">
        <f t="shared" ref="AM6:AM68" si="12">TIMEVALUE(AL6)</f>
        <v>3.87962962962963E-4</v>
      </c>
    </row>
    <row r="7" spans="2:39" x14ac:dyDescent="0.25">
      <c r="T7" s="138">
        <v>11</v>
      </c>
      <c r="U7" s="138">
        <v>10</v>
      </c>
      <c r="V7" s="138">
        <v>9</v>
      </c>
      <c r="W7" s="138">
        <v>8</v>
      </c>
      <c r="X7" s="138">
        <v>7</v>
      </c>
      <c r="Y7" s="138">
        <v>6</v>
      </c>
      <c r="Z7" s="138">
        <v>5</v>
      </c>
      <c r="AA7" s="162"/>
      <c r="AB7" s="163"/>
      <c r="AC7" s="164"/>
      <c r="AD7" s="165"/>
      <c r="AE7" s="166"/>
      <c r="AF7" s="164"/>
      <c r="AG7" s="165"/>
      <c r="AH7" s="166"/>
      <c r="AI7" s="163"/>
      <c r="AJ7" s="162"/>
      <c r="AK7" s="163"/>
      <c r="AL7" s="167"/>
      <c r="AM7" s="163"/>
    </row>
    <row r="8" spans="2:39" ht="22.8" x14ac:dyDescent="0.25">
      <c r="B8" s="135" t="s">
        <v>249</v>
      </c>
      <c r="C8" s="136">
        <v>32</v>
      </c>
      <c r="D8" s="136">
        <v>3</v>
      </c>
      <c r="E8" s="136">
        <v>1</v>
      </c>
      <c r="F8" s="136">
        <v>14</v>
      </c>
      <c r="G8" s="145"/>
      <c r="H8" s="148" t="str">
        <f>IF(C8="","",HLOOKUP(CONCATENATE("M",C8),'KAVVV Records &amp; age-grading'!$C$1:$Q$1,1,TRUE))</f>
        <v>M17</v>
      </c>
      <c r="I8" s="149">
        <f>IF(H8="","",HLOOKUP(H8,'KAVVV Records &amp; age-grading'!$C$1:$P$29,AA8+2,TRUE))</f>
        <v>1.7081018518518519E-3</v>
      </c>
      <c r="J8" s="150" t="str">
        <f>IF(AC8+AD8+AE8=0,"",CONCATENATE(AC8,":",AD8,",",AE8))</f>
        <v>3:01,14</v>
      </c>
      <c r="K8" s="144"/>
      <c r="L8" s="151">
        <f>IF(D8+E8+F8=0,"",HLOOKUP(AM8,U8:Z9,2,TRUE))</f>
        <v>6</v>
      </c>
      <c r="M8" s="152"/>
      <c r="N8" s="153">
        <f>IF($I8="","",N$4*$I8)</f>
        <v>1.7081018518518519E-3</v>
      </c>
      <c r="O8" s="153">
        <f t="shared" si="0"/>
        <v>1.7764259259259261E-3</v>
      </c>
      <c r="P8" s="153">
        <f t="shared" si="0"/>
        <v>1.8618310185185187E-3</v>
      </c>
      <c r="Q8" s="153">
        <f t="shared" si="0"/>
        <v>1.9643171296296297E-3</v>
      </c>
      <c r="R8" s="153">
        <f t="shared" si="0"/>
        <v>2.0838842592592593E-3</v>
      </c>
      <c r="S8" s="153">
        <f t="shared" si="0"/>
        <v>2.2205324074074076E-3</v>
      </c>
      <c r="T8" s="154">
        <v>0</v>
      </c>
      <c r="U8" s="155">
        <f>N8</f>
        <v>1.7081018518518519E-3</v>
      </c>
      <c r="V8" s="155">
        <f t="shared" ref="V8" si="13">O8</f>
        <v>1.7764259259259261E-3</v>
      </c>
      <c r="W8" s="155">
        <f t="shared" ref="W8" si="14">P8</f>
        <v>1.8618310185185187E-3</v>
      </c>
      <c r="X8" s="155">
        <f t="shared" ref="X8" si="15">Q8</f>
        <v>1.9643171296296297E-3</v>
      </c>
      <c r="Y8" s="155">
        <f t="shared" ref="Y8" si="16">R8</f>
        <v>2.0838842592592593E-3</v>
      </c>
      <c r="Z8" s="155">
        <f t="shared" ref="Z8" si="17">S8</f>
        <v>2.2205324074074076E-3</v>
      </c>
      <c r="AA8" s="156">
        <f>VLOOKUP(B8,'KAVVV Records &amp; age-grading'!$A$3:$B$28,2,FALSE)</f>
        <v>8</v>
      </c>
      <c r="AB8" s="156"/>
      <c r="AC8" s="157">
        <f t="shared" si="2"/>
        <v>3</v>
      </c>
      <c r="AD8" s="158" t="str">
        <f t="shared" si="3"/>
        <v>01</v>
      </c>
      <c r="AE8" s="159">
        <f t="shared" si="4"/>
        <v>14</v>
      </c>
      <c r="AF8" s="157">
        <f t="shared" si="5"/>
        <v>3</v>
      </c>
      <c r="AG8" s="158" t="str">
        <f t="shared" si="6"/>
        <v>01</v>
      </c>
      <c r="AH8" s="159">
        <f t="shared" si="7"/>
        <v>13</v>
      </c>
      <c r="AI8" s="156" t="str">
        <f t="shared" si="8"/>
        <v>03</v>
      </c>
      <c r="AJ8" s="160" t="str">
        <f t="shared" si="9"/>
        <v>01</v>
      </c>
      <c r="AK8" s="156">
        <f t="shared" si="10"/>
        <v>13</v>
      </c>
      <c r="AL8" s="161" t="str">
        <f t="shared" si="11"/>
        <v>03:01,13</v>
      </c>
      <c r="AM8" s="156">
        <f t="shared" si="12"/>
        <v>2.0964120370370368E-3</v>
      </c>
    </row>
    <row r="9" spans="2:39" x14ac:dyDescent="0.25">
      <c r="T9" s="138">
        <v>11</v>
      </c>
      <c r="U9" s="138">
        <v>10</v>
      </c>
      <c r="V9" s="138">
        <v>9</v>
      </c>
      <c r="W9" s="138">
        <v>8</v>
      </c>
      <c r="X9" s="138">
        <v>7</v>
      </c>
      <c r="Y9" s="138">
        <v>6</v>
      </c>
      <c r="Z9" s="138">
        <v>5</v>
      </c>
      <c r="AA9" s="162"/>
      <c r="AB9" s="163"/>
      <c r="AC9" s="164"/>
      <c r="AD9" s="165"/>
      <c r="AE9" s="166"/>
      <c r="AF9" s="164"/>
      <c r="AG9" s="165"/>
      <c r="AH9" s="166"/>
      <c r="AI9" s="163"/>
      <c r="AJ9" s="162"/>
      <c r="AK9" s="163"/>
      <c r="AL9" s="167"/>
      <c r="AM9" s="163"/>
    </row>
    <row r="10" spans="2:39" ht="22.8" x14ac:dyDescent="0.25">
      <c r="B10" s="135" t="s">
        <v>249</v>
      </c>
      <c r="C10" s="136">
        <v>58</v>
      </c>
      <c r="D10" s="136">
        <v>3</v>
      </c>
      <c r="E10" s="136">
        <v>10</v>
      </c>
      <c r="F10" s="136">
        <v>24</v>
      </c>
      <c r="G10" s="145"/>
      <c r="H10" s="148" t="str">
        <f>IF(C10="","",HLOOKUP(CONCATENATE("M",C10),'KAVVV Records &amp; age-grading'!$C$1:$Q$1,1,TRUE))</f>
        <v>M55</v>
      </c>
      <c r="I10" s="149">
        <f>IF(H10="","",HLOOKUP(H10,'KAVVV Records &amp; age-grading'!$C$1:$P$29,AA10+2,TRUE))</f>
        <v>2.042206900827178E-3</v>
      </c>
      <c r="J10" s="150" t="str">
        <f>IF(AC10+AD10+AE10=0,"",CONCATENATE(AC10,":",AD10,",",AE10))</f>
        <v>3:10,24</v>
      </c>
      <c r="K10" s="144"/>
      <c r="L10" s="151">
        <f>IF(D10+E10+F10=0,"",HLOOKUP(AM10,U10:Z11,2,TRUE))</f>
        <v>9</v>
      </c>
      <c r="M10" s="152"/>
      <c r="N10" s="153">
        <f>IF($I10="","",N$4*$I10)</f>
        <v>2.042206900827178E-3</v>
      </c>
      <c r="O10" s="153">
        <f t="shared" ref="O10:S16" si="18">IF($I10="","",O$4*$I10)</f>
        <v>2.1238951768602654E-3</v>
      </c>
      <c r="P10" s="153">
        <f t="shared" si="18"/>
        <v>2.226005521901624E-3</v>
      </c>
      <c r="Q10" s="153">
        <f t="shared" si="18"/>
        <v>2.3485379359512544E-3</v>
      </c>
      <c r="R10" s="153">
        <f t="shared" si="18"/>
        <v>2.4914924190091573E-3</v>
      </c>
      <c r="S10" s="153">
        <f t="shared" si="18"/>
        <v>2.6548689710753316E-3</v>
      </c>
      <c r="T10" s="154">
        <v>0</v>
      </c>
      <c r="U10" s="155">
        <f>N10</f>
        <v>2.042206900827178E-3</v>
      </c>
      <c r="V10" s="155">
        <f t="shared" ref="V10" si="19">O10</f>
        <v>2.1238951768602654E-3</v>
      </c>
      <c r="W10" s="155">
        <f t="shared" ref="W10" si="20">P10</f>
        <v>2.226005521901624E-3</v>
      </c>
      <c r="X10" s="155">
        <f t="shared" ref="X10" si="21">Q10</f>
        <v>2.3485379359512544E-3</v>
      </c>
      <c r="Y10" s="155">
        <f t="shared" ref="Y10" si="22">R10</f>
        <v>2.4914924190091573E-3</v>
      </c>
      <c r="Z10" s="155">
        <f t="shared" ref="Z10" si="23">S10</f>
        <v>2.6548689710753316E-3</v>
      </c>
      <c r="AA10" s="156">
        <f>VLOOKUP(B10,'KAVVV Records &amp; age-grading'!$A$3:$B$28,2,FALSE)</f>
        <v>8</v>
      </c>
      <c r="AB10" s="156"/>
      <c r="AC10" s="157">
        <f t="shared" si="2"/>
        <v>3</v>
      </c>
      <c r="AD10" s="158">
        <f t="shared" si="3"/>
        <v>10</v>
      </c>
      <c r="AE10" s="159">
        <f t="shared" si="4"/>
        <v>24</v>
      </c>
      <c r="AF10" s="157">
        <f t="shared" si="5"/>
        <v>3</v>
      </c>
      <c r="AG10" s="158">
        <f t="shared" si="6"/>
        <v>10</v>
      </c>
      <c r="AH10" s="159">
        <f t="shared" si="7"/>
        <v>23</v>
      </c>
      <c r="AI10" s="156" t="str">
        <f t="shared" si="8"/>
        <v>03</v>
      </c>
      <c r="AJ10" s="160">
        <f t="shared" si="9"/>
        <v>10</v>
      </c>
      <c r="AK10" s="156">
        <f t="shared" si="10"/>
        <v>23</v>
      </c>
      <c r="AL10" s="161" t="str">
        <f t="shared" si="11"/>
        <v>03:10,23</v>
      </c>
      <c r="AM10" s="156">
        <f t="shared" si="12"/>
        <v>2.2017361111111113E-3</v>
      </c>
    </row>
    <row r="11" spans="2:39" x14ac:dyDescent="0.25">
      <c r="T11" s="138">
        <v>11</v>
      </c>
      <c r="U11" s="138">
        <v>10</v>
      </c>
      <c r="V11" s="138">
        <v>9</v>
      </c>
      <c r="W11" s="138">
        <v>8</v>
      </c>
      <c r="X11" s="138">
        <v>7</v>
      </c>
      <c r="Y11" s="138">
        <v>6</v>
      </c>
      <c r="Z11" s="138">
        <v>5</v>
      </c>
      <c r="AA11" s="162"/>
      <c r="AB11" s="163"/>
      <c r="AC11" s="164"/>
      <c r="AD11" s="165"/>
      <c r="AE11" s="166"/>
      <c r="AF11" s="164"/>
      <c r="AG11" s="165"/>
      <c r="AH11" s="166"/>
      <c r="AI11" s="163"/>
      <c r="AJ11" s="162"/>
      <c r="AK11" s="163"/>
      <c r="AL11" s="167"/>
      <c r="AM11" s="163"/>
    </row>
    <row r="12" spans="2:39" ht="22.8" x14ac:dyDescent="0.25">
      <c r="B12" s="135" t="s">
        <v>249</v>
      </c>
      <c r="C12" s="136">
        <v>65</v>
      </c>
      <c r="D12" s="136">
        <v>3</v>
      </c>
      <c r="E12" s="136">
        <v>35</v>
      </c>
      <c r="F12" s="136">
        <v>68</v>
      </c>
      <c r="G12" s="145"/>
      <c r="H12" s="148" t="str">
        <f>IF(C12="","",HLOOKUP(CONCATENATE("M",C12),'KAVVV Records &amp; age-grading'!$C$1:$Q$1,1,TRUE))</f>
        <v>M65</v>
      </c>
      <c r="I12" s="149">
        <f>IF(H12="","",HLOOKUP(H12,'KAVVV Records &amp; age-grading'!$C$1:$P$29,AA12+2,TRUE))</f>
        <v>2.2590951618196692E-3</v>
      </c>
      <c r="J12" s="150" t="str">
        <f>IF(AC12+AD12+AE12=0,"",CONCATENATE(AC12,":",AD12,",",AE12))</f>
        <v>3:35,68</v>
      </c>
      <c r="K12" s="144"/>
      <c r="L12" s="151">
        <f>IF(D12+E12+F12=0,"",HLOOKUP(AM12,U12:Z13,2,TRUE))</f>
        <v>8</v>
      </c>
      <c r="M12" s="152"/>
      <c r="N12" s="153">
        <f>IF($I12="","",N$4*$I12)</f>
        <v>2.2590951618196692E-3</v>
      </c>
      <c r="O12" s="153">
        <f t="shared" si="18"/>
        <v>2.3494589682924562E-3</v>
      </c>
      <c r="P12" s="153">
        <f t="shared" si="18"/>
        <v>2.4624137263834396E-3</v>
      </c>
      <c r="Q12" s="153">
        <f t="shared" si="18"/>
        <v>2.5979594360926194E-3</v>
      </c>
      <c r="R12" s="153">
        <f t="shared" si="18"/>
        <v>2.7560960974199965E-3</v>
      </c>
      <c r="S12" s="153">
        <f t="shared" si="18"/>
        <v>2.9368237103655701E-3</v>
      </c>
      <c r="T12" s="154">
        <v>0</v>
      </c>
      <c r="U12" s="155">
        <f>N12</f>
        <v>2.2590951618196692E-3</v>
      </c>
      <c r="V12" s="155">
        <f t="shared" ref="V12" si="24">O12</f>
        <v>2.3494589682924562E-3</v>
      </c>
      <c r="W12" s="155">
        <f t="shared" ref="W12" si="25">P12</f>
        <v>2.4624137263834396E-3</v>
      </c>
      <c r="X12" s="155">
        <f t="shared" ref="X12" si="26">Q12</f>
        <v>2.5979594360926194E-3</v>
      </c>
      <c r="Y12" s="155">
        <f t="shared" ref="Y12" si="27">R12</f>
        <v>2.7560960974199965E-3</v>
      </c>
      <c r="Z12" s="155">
        <f t="shared" ref="Z12" si="28">S12</f>
        <v>2.9368237103655701E-3</v>
      </c>
      <c r="AA12" s="156">
        <f>VLOOKUP(B12,'KAVVV Records &amp; age-grading'!$A$3:$B$28,2,FALSE)</f>
        <v>8</v>
      </c>
      <c r="AB12" s="156"/>
      <c r="AC12" s="157">
        <f t="shared" si="2"/>
        <v>3</v>
      </c>
      <c r="AD12" s="158">
        <f t="shared" si="3"/>
        <v>35</v>
      </c>
      <c r="AE12" s="159">
        <f t="shared" si="4"/>
        <v>68</v>
      </c>
      <c r="AF12" s="157">
        <f t="shared" si="5"/>
        <v>3</v>
      </c>
      <c r="AG12" s="158">
        <f t="shared" si="6"/>
        <v>35</v>
      </c>
      <c r="AH12" s="159">
        <f t="shared" si="7"/>
        <v>67</v>
      </c>
      <c r="AI12" s="156" t="str">
        <f t="shared" si="8"/>
        <v>03</v>
      </c>
      <c r="AJ12" s="160">
        <f t="shared" si="9"/>
        <v>35</v>
      </c>
      <c r="AK12" s="156">
        <f t="shared" si="10"/>
        <v>67</v>
      </c>
      <c r="AL12" s="161" t="str">
        <f t="shared" si="11"/>
        <v>03:35,67</v>
      </c>
      <c r="AM12" s="156">
        <f t="shared" si="12"/>
        <v>2.4961805555555557E-3</v>
      </c>
    </row>
    <row r="13" spans="2:39" x14ac:dyDescent="0.25">
      <c r="T13" s="138">
        <v>11</v>
      </c>
      <c r="U13" s="138">
        <v>10</v>
      </c>
      <c r="V13" s="138">
        <v>9</v>
      </c>
      <c r="W13" s="138">
        <v>8</v>
      </c>
      <c r="X13" s="138">
        <v>7</v>
      </c>
      <c r="Y13" s="138">
        <v>6</v>
      </c>
      <c r="Z13" s="138">
        <v>5</v>
      </c>
      <c r="AA13" s="162"/>
      <c r="AB13" s="163"/>
      <c r="AC13" s="164"/>
      <c r="AD13" s="165"/>
      <c r="AE13" s="166"/>
      <c r="AF13" s="164"/>
      <c r="AG13" s="165"/>
      <c r="AH13" s="166"/>
      <c r="AI13" s="163"/>
      <c r="AJ13" s="162"/>
      <c r="AK13" s="163"/>
      <c r="AL13" s="167"/>
      <c r="AM13" s="163"/>
    </row>
    <row r="14" spans="2:39" ht="22.8" x14ac:dyDescent="0.25">
      <c r="B14" s="135" t="s">
        <v>249</v>
      </c>
      <c r="C14" s="136">
        <v>69</v>
      </c>
      <c r="D14" s="136">
        <v>3</v>
      </c>
      <c r="E14" s="136">
        <v>50</v>
      </c>
      <c r="F14" s="136">
        <v>56</v>
      </c>
      <c r="G14" s="145"/>
      <c r="H14" s="148" t="str">
        <f>IF(C14="","",HLOOKUP(CONCATENATE("M",C14),'KAVVV Records &amp; age-grading'!$C$1:$Q$1,1,TRUE))</f>
        <v>M65</v>
      </c>
      <c r="I14" s="149">
        <f>IF(H14="","",HLOOKUP(H14,'KAVVV Records &amp; age-grading'!$C$1:$P$29,AA14+2,TRUE))</f>
        <v>2.2590951618196692E-3</v>
      </c>
      <c r="J14" s="150" t="str">
        <f>IF(AC14+AD14+AE14=0,"",CONCATENATE(AC14,":",AD14,",",AE14))</f>
        <v>3:50,56</v>
      </c>
      <c r="K14" s="144"/>
      <c r="L14" s="151">
        <f>IF(D14+E14+F14=0,"",HLOOKUP(AM14,U14:Z15,2,TRUE))</f>
        <v>7</v>
      </c>
      <c r="M14" s="152"/>
      <c r="N14" s="153">
        <f>IF($I14="","",N$4*$I14)</f>
        <v>2.2590951618196692E-3</v>
      </c>
      <c r="O14" s="153">
        <f t="shared" si="18"/>
        <v>2.3494589682924562E-3</v>
      </c>
      <c r="P14" s="153">
        <f t="shared" si="18"/>
        <v>2.4624137263834396E-3</v>
      </c>
      <c r="Q14" s="153">
        <f t="shared" si="18"/>
        <v>2.5979594360926194E-3</v>
      </c>
      <c r="R14" s="153">
        <f t="shared" si="18"/>
        <v>2.7560960974199965E-3</v>
      </c>
      <c r="S14" s="153">
        <f t="shared" si="18"/>
        <v>2.9368237103655701E-3</v>
      </c>
      <c r="T14" s="154">
        <v>0</v>
      </c>
      <c r="U14" s="155">
        <f>N14</f>
        <v>2.2590951618196692E-3</v>
      </c>
      <c r="V14" s="155">
        <f t="shared" ref="V14" si="29">O14</f>
        <v>2.3494589682924562E-3</v>
      </c>
      <c r="W14" s="155">
        <f t="shared" ref="W14" si="30">P14</f>
        <v>2.4624137263834396E-3</v>
      </c>
      <c r="X14" s="155">
        <f t="shared" ref="X14" si="31">Q14</f>
        <v>2.5979594360926194E-3</v>
      </c>
      <c r="Y14" s="155">
        <f t="shared" ref="Y14" si="32">R14</f>
        <v>2.7560960974199965E-3</v>
      </c>
      <c r="Z14" s="155">
        <f t="shared" ref="Z14" si="33">S14</f>
        <v>2.9368237103655701E-3</v>
      </c>
      <c r="AA14" s="156">
        <f>VLOOKUP(B14,'KAVVV Records &amp; age-grading'!$A$3:$B$28,2,FALSE)</f>
        <v>8</v>
      </c>
      <c r="AB14" s="156"/>
      <c r="AC14" s="157">
        <f t="shared" si="2"/>
        <v>3</v>
      </c>
      <c r="AD14" s="158">
        <f t="shared" si="3"/>
        <v>50</v>
      </c>
      <c r="AE14" s="159">
        <f t="shared" si="4"/>
        <v>56</v>
      </c>
      <c r="AF14" s="157">
        <f t="shared" si="5"/>
        <v>3</v>
      </c>
      <c r="AG14" s="158">
        <f t="shared" si="6"/>
        <v>50</v>
      </c>
      <c r="AH14" s="159">
        <f t="shared" si="7"/>
        <v>55</v>
      </c>
      <c r="AI14" s="156" t="str">
        <f t="shared" si="8"/>
        <v>03</v>
      </c>
      <c r="AJ14" s="160">
        <f t="shared" si="9"/>
        <v>50</v>
      </c>
      <c r="AK14" s="156">
        <f t="shared" si="10"/>
        <v>55</v>
      </c>
      <c r="AL14" s="161" t="str">
        <f t="shared" si="11"/>
        <v>03:50,55</v>
      </c>
      <c r="AM14" s="156">
        <f t="shared" si="12"/>
        <v>2.6684027777777778E-3</v>
      </c>
    </row>
    <row r="15" spans="2:39" s="176" customFormat="1" x14ac:dyDescent="0.25">
      <c r="E15" s="177"/>
      <c r="M15" s="177"/>
      <c r="N15" s="177"/>
      <c r="O15" s="177"/>
      <c r="P15" s="177"/>
      <c r="Q15" s="177"/>
      <c r="R15" s="177"/>
      <c r="S15" s="177"/>
      <c r="T15" s="176">
        <v>11</v>
      </c>
      <c r="U15" s="176">
        <v>10</v>
      </c>
      <c r="V15" s="176">
        <v>9</v>
      </c>
      <c r="W15" s="176">
        <v>8</v>
      </c>
      <c r="X15" s="176">
        <v>7</v>
      </c>
      <c r="Y15" s="176">
        <v>6</v>
      </c>
      <c r="Z15" s="176">
        <v>5</v>
      </c>
      <c r="AB15" s="177"/>
      <c r="AC15" s="178"/>
      <c r="AD15" s="179"/>
      <c r="AE15" s="180"/>
      <c r="AF15" s="178"/>
      <c r="AG15" s="179"/>
      <c r="AH15" s="180"/>
      <c r="AI15" s="177"/>
      <c r="AK15" s="177"/>
      <c r="AL15" s="181"/>
      <c r="AM15" s="177"/>
    </row>
    <row r="16" spans="2:39" ht="22.8" x14ac:dyDescent="0.25">
      <c r="B16" s="135" t="s">
        <v>249</v>
      </c>
      <c r="C16" s="136">
        <v>66</v>
      </c>
      <c r="D16" s="136">
        <v>3</v>
      </c>
      <c r="E16" s="136">
        <v>57</v>
      </c>
      <c r="F16" s="136">
        <v>38</v>
      </c>
      <c r="G16" s="145"/>
      <c r="H16" s="148" t="str">
        <f>IF(C16="","",HLOOKUP(CONCATENATE("M",C16),'KAVVV Records &amp; age-grading'!$C$1:$Q$1,1,TRUE))</f>
        <v>M65</v>
      </c>
      <c r="I16" s="149">
        <f>IF(H16="","",HLOOKUP(H16,'KAVVV Records &amp; age-grading'!$C$1:$P$29,AA16+2,TRUE))</f>
        <v>2.2590951618196692E-3</v>
      </c>
      <c r="J16" s="150" t="str">
        <f>IF(AC16+AD16+AE16=0,"",CONCATENATE(AC16,":",AD16,",",AE16))</f>
        <v>3:57,38</v>
      </c>
      <c r="K16" s="144"/>
      <c r="L16" s="151">
        <f>IF(D16+E16+F16=0,"",HLOOKUP(AM16,U16:Z17,2,TRUE))</f>
        <v>7</v>
      </c>
      <c r="M16" s="152"/>
      <c r="N16" s="153">
        <f>IF($I16="","",N$4*$I16)</f>
        <v>2.2590951618196692E-3</v>
      </c>
      <c r="O16" s="153">
        <f t="shared" si="18"/>
        <v>2.3494589682924562E-3</v>
      </c>
      <c r="P16" s="153">
        <f t="shared" si="18"/>
        <v>2.4624137263834396E-3</v>
      </c>
      <c r="Q16" s="153">
        <f t="shared" si="18"/>
        <v>2.5979594360926194E-3</v>
      </c>
      <c r="R16" s="153">
        <f t="shared" si="18"/>
        <v>2.7560960974199965E-3</v>
      </c>
      <c r="S16" s="153">
        <f t="shared" si="18"/>
        <v>2.9368237103655701E-3</v>
      </c>
      <c r="T16" s="154">
        <v>0</v>
      </c>
      <c r="U16" s="155">
        <f>N16</f>
        <v>2.2590951618196692E-3</v>
      </c>
      <c r="V16" s="155">
        <f t="shared" ref="V16" si="34">O16</f>
        <v>2.3494589682924562E-3</v>
      </c>
      <c r="W16" s="155">
        <f t="shared" ref="W16" si="35">P16</f>
        <v>2.4624137263834396E-3</v>
      </c>
      <c r="X16" s="155">
        <f t="shared" ref="X16" si="36">Q16</f>
        <v>2.5979594360926194E-3</v>
      </c>
      <c r="Y16" s="155">
        <f t="shared" ref="Y16" si="37">R16</f>
        <v>2.7560960974199965E-3</v>
      </c>
      <c r="Z16" s="155">
        <f t="shared" ref="Z16" si="38">S16</f>
        <v>2.9368237103655701E-3</v>
      </c>
      <c r="AA16" s="156">
        <f>VLOOKUP(B16,'KAVVV Records &amp; age-grading'!$A$3:$B$28,2,FALSE)</f>
        <v>8</v>
      </c>
      <c r="AB16" s="156"/>
      <c r="AC16" s="157">
        <f t="shared" si="2"/>
        <v>3</v>
      </c>
      <c r="AD16" s="158">
        <f t="shared" si="3"/>
        <v>57</v>
      </c>
      <c r="AE16" s="159">
        <f t="shared" si="4"/>
        <v>38</v>
      </c>
      <c r="AF16" s="157">
        <f t="shared" si="5"/>
        <v>3</v>
      </c>
      <c r="AG16" s="158">
        <f t="shared" si="6"/>
        <v>57</v>
      </c>
      <c r="AH16" s="159">
        <f t="shared" si="7"/>
        <v>37</v>
      </c>
      <c r="AI16" s="156" t="str">
        <f t="shared" si="8"/>
        <v>03</v>
      </c>
      <c r="AJ16" s="160">
        <f t="shared" si="9"/>
        <v>57</v>
      </c>
      <c r="AK16" s="156">
        <f t="shared" si="10"/>
        <v>37</v>
      </c>
      <c r="AL16" s="161" t="str">
        <f t="shared" si="11"/>
        <v>03:57,37</v>
      </c>
      <c r="AM16" s="156">
        <f t="shared" si="12"/>
        <v>2.7473379629629631E-3</v>
      </c>
    </row>
    <row r="17" spans="2:39" x14ac:dyDescent="0.25">
      <c r="T17" s="138">
        <v>11</v>
      </c>
      <c r="U17" s="138">
        <v>10</v>
      </c>
      <c r="V17" s="138">
        <v>9</v>
      </c>
      <c r="W17" s="138">
        <v>8</v>
      </c>
      <c r="X17" s="138">
        <v>7</v>
      </c>
      <c r="Y17" s="138">
        <v>6</v>
      </c>
      <c r="Z17" s="138">
        <v>5</v>
      </c>
      <c r="AA17" s="162"/>
      <c r="AB17" s="163"/>
      <c r="AC17" s="164"/>
      <c r="AD17" s="165"/>
      <c r="AE17" s="166"/>
      <c r="AF17" s="164"/>
      <c r="AG17" s="165"/>
      <c r="AH17" s="166"/>
      <c r="AI17" s="163"/>
      <c r="AJ17" s="162"/>
      <c r="AK17" s="163"/>
      <c r="AL17" s="167"/>
      <c r="AM17" s="163"/>
    </row>
    <row r="18" spans="2:39" ht="22.8" x14ac:dyDescent="0.25">
      <c r="B18" s="135" t="s">
        <v>253</v>
      </c>
      <c r="C18" s="136">
        <v>61</v>
      </c>
      <c r="D18" s="136">
        <v>12</v>
      </c>
      <c r="E18" s="136">
        <v>56</v>
      </c>
      <c r="F18" s="136">
        <v>79</v>
      </c>
      <c r="G18" s="145"/>
      <c r="H18" s="148" t="str">
        <f>IF(C18="","",HLOOKUP(CONCATENATE("M",C18),'KAVVV Records &amp; age-grading'!$C$1:$Q$1,1,TRUE))</f>
        <v>M60</v>
      </c>
      <c r="I18" s="149">
        <f>IF(H18="","",HLOOKUP(H18,'KAVVV Records &amp; age-grading'!$C$1:$P$29,AA18+2,TRUE))</f>
        <v>6.9836785938480863E-3</v>
      </c>
      <c r="J18" s="150" t="str">
        <f>IF(AC18+AD18+AE18=0,"",CONCATENATE(AC18,":",AD18,",",AE18))</f>
        <v>12:56,79</v>
      </c>
      <c r="K18" s="144"/>
      <c r="L18" s="151">
        <f>IF(D18+E18+F18=0,"",HLOOKUP(AM18,U18:Z19,2,TRUE))</f>
        <v>6</v>
      </c>
      <c r="M18" s="152"/>
      <c r="N18" s="153">
        <f>IF($I18="","",N$4*$I18)</f>
        <v>6.9836785938480863E-3</v>
      </c>
      <c r="O18" s="153">
        <f t="shared" ref="O18:S20" si="39">IF($I18="","",O$4*$I18)</f>
        <v>7.2630257376020101E-3</v>
      </c>
      <c r="P18" s="153">
        <f t="shared" si="39"/>
        <v>7.6122096672944142E-3</v>
      </c>
      <c r="Q18" s="153">
        <f t="shared" si="39"/>
        <v>8.0312303829252994E-3</v>
      </c>
      <c r="R18" s="153">
        <f t="shared" si="39"/>
        <v>8.5200878844946659E-3</v>
      </c>
      <c r="S18" s="153">
        <f t="shared" si="39"/>
        <v>9.0787821720025117E-3</v>
      </c>
      <c r="T18" s="154">
        <v>0</v>
      </c>
      <c r="U18" s="155">
        <f>N18</f>
        <v>6.9836785938480863E-3</v>
      </c>
      <c r="V18" s="155">
        <f t="shared" ref="V18" si="40">O18</f>
        <v>7.2630257376020101E-3</v>
      </c>
      <c r="W18" s="155">
        <f t="shared" ref="W18" si="41">P18</f>
        <v>7.6122096672944142E-3</v>
      </c>
      <c r="X18" s="155">
        <f t="shared" ref="X18" si="42">Q18</f>
        <v>8.0312303829252994E-3</v>
      </c>
      <c r="Y18" s="155">
        <f t="shared" ref="Y18" si="43">R18</f>
        <v>8.5200878844946659E-3</v>
      </c>
      <c r="Z18" s="155">
        <f t="shared" ref="Z18" si="44">S18</f>
        <v>9.0787821720025117E-3</v>
      </c>
      <c r="AA18" s="156">
        <f>VLOOKUP(B18,'KAVVV Records &amp; age-grading'!$A$3:$B$28,2,FALSE)</f>
        <v>12</v>
      </c>
      <c r="AB18" s="156"/>
      <c r="AC18" s="157">
        <f t="shared" si="2"/>
        <v>12</v>
      </c>
      <c r="AD18" s="158">
        <f t="shared" si="3"/>
        <v>56</v>
      </c>
      <c r="AE18" s="159">
        <f t="shared" si="4"/>
        <v>79</v>
      </c>
      <c r="AF18" s="157">
        <f t="shared" si="5"/>
        <v>12</v>
      </c>
      <c r="AG18" s="158">
        <f t="shared" si="6"/>
        <v>56</v>
      </c>
      <c r="AH18" s="159">
        <f t="shared" si="7"/>
        <v>78</v>
      </c>
      <c r="AI18" s="156">
        <f t="shared" si="8"/>
        <v>12</v>
      </c>
      <c r="AJ18" s="160">
        <f t="shared" si="9"/>
        <v>56</v>
      </c>
      <c r="AK18" s="156">
        <f t="shared" si="10"/>
        <v>78</v>
      </c>
      <c r="AL18" s="161" t="str">
        <f t="shared" si="11"/>
        <v>12:56,78</v>
      </c>
      <c r="AM18" s="156">
        <f t="shared" si="12"/>
        <v>8.9905092592592589E-3</v>
      </c>
    </row>
    <row r="19" spans="2:39" x14ac:dyDescent="0.25">
      <c r="T19" s="138">
        <v>11</v>
      </c>
      <c r="U19" s="138">
        <v>10</v>
      </c>
      <c r="V19" s="138">
        <v>9</v>
      </c>
      <c r="W19" s="138">
        <v>8</v>
      </c>
      <c r="X19" s="138">
        <v>7</v>
      </c>
      <c r="Y19" s="138">
        <v>6</v>
      </c>
      <c r="Z19" s="138">
        <v>5</v>
      </c>
      <c r="AA19" s="162"/>
      <c r="AB19" s="163"/>
      <c r="AC19" s="164"/>
      <c r="AD19" s="165"/>
      <c r="AE19" s="166"/>
      <c r="AF19" s="164"/>
      <c r="AG19" s="165"/>
      <c r="AH19" s="166"/>
      <c r="AI19" s="163"/>
      <c r="AJ19" s="162"/>
      <c r="AK19" s="163"/>
      <c r="AL19" s="167"/>
      <c r="AM19" s="163"/>
    </row>
    <row r="20" spans="2:39" ht="22.8" x14ac:dyDescent="0.25">
      <c r="B20" s="135" t="s">
        <v>253</v>
      </c>
      <c r="C20" s="136">
        <v>69</v>
      </c>
      <c r="D20" s="136">
        <v>13</v>
      </c>
      <c r="E20" s="136">
        <v>58</v>
      </c>
      <c r="F20" s="136">
        <v>5</v>
      </c>
      <c r="G20" s="145"/>
      <c r="H20" s="148" t="str">
        <f>IF(C20="","",HLOOKUP(CONCATENATE("M",C20),'KAVVV Records &amp; age-grading'!$C$1:$Q$1,1,TRUE))</f>
        <v>M65</v>
      </c>
      <c r="I20" s="149">
        <f>IF(H20="","",HLOOKUP(H20,'KAVVV Records &amp; age-grading'!$C$1:$P$29,AA20+2,TRUE))</f>
        <v>7.3037712313478347E-3</v>
      </c>
      <c r="J20" s="150" t="str">
        <f>IF(AC20+AD20+AE20=0,"",CONCATENATE(AC20,":",AD20,",",AE20))</f>
        <v>13:58,05</v>
      </c>
      <c r="K20" s="144"/>
      <c r="L20" s="151">
        <f>IF(D20+E20+F20=0,"",HLOOKUP(AM20,U20:Z21,2,TRUE))</f>
        <v>5</v>
      </c>
      <c r="M20" s="152"/>
      <c r="N20" s="153">
        <f>IF($I20="","",N$4*$I20)</f>
        <v>7.3037712313478347E-3</v>
      </c>
      <c r="O20" s="153">
        <f t="shared" si="39"/>
        <v>7.5959220806017481E-3</v>
      </c>
      <c r="P20" s="153">
        <f t="shared" si="39"/>
        <v>7.9611106421691412E-3</v>
      </c>
      <c r="Q20" s="153">
        <f t="shared" si="39"/>
        <v>8.3993369160500087E-3</v>
      </c>
      <c r="R20" s="153">
        <f t="shared" si="39"/>
        <v>8.9106009022443585E-3</v>
      </c>
      <c r="S20" s="153">
        <f t="shared" si="39"/>
        <v>9.4949026007521854E-3</v>
      </c>
      <c r="T20" s="154">
        <v>0</v>
      </c>
      <c r="U20" s="155">
        <f>N20</f>
        <v>7.3037712313478347E-3</v>
      </c>
      <c r="V20" s="155">
        <f t="shared" ref="V20" si="45">O20</f>
        <v>7.5959220806017481E-3</v>
      </c>
      <c r="W20" s="155">
        <f t="shared" ref="W20" si="46">P20</f>
        <v>7.9611106421691412E-3</v>
      </c>
      <c r="X20" s="155">
        <f t="shared" ref="X20" si="47">Q20</f>
        <v>8.3993369160500087E-3</v>
      </c>
      <c r="Y20" s="155">
        <f t="shared" ref="Y20" si="48">R20</f>
        <v>8.9106009022443585E-3</v>
      </c>
      <c r="Z20" s="155">
        <f t="shared" ref="Z20" si="49">S20</f>
        <v>9.4949026007521854E-3</v>
      </c>
      <c r="AA20" s="156">
        <f>VLOOKUP(B20,'KAVVV Records &amp; age-grading'!$A$3:$B$28,2,FALSE)</f>
        <v>12</v>
      </c>
      <c r="AB20" s="156"/>
      <c r="AC20" s="157">
        <f t="shared" si="2"/>
        <v>13</v>
      </c>
      <c r="AD20" s="158">
        <f t="shared" si="3"/>
        <v>58</v>
      </c>
      <c r="AE20" s="159" t="str">
        <f t="shared" si="4"/>
        <v>05</v>
      </c>
      <c r="AF20" s="157">
        <f t="shared" si="5"/>
        <v>13</v>
      </c>
      <c r="AG20" s="158">
        <f t="shared" si="6"/>
        <v>58</v>
      </c>
      <c r="AH20" s="159">
        <f t="shared" si="7"/>
        <v>4</v>
      </c>
      <c r="AI20" s="156">
        <f t="shared" si="8"/>
        <v>13</v>
      </c>
      <c r="AJ20" s="160">
        <f t="shared" si="9"/>
        <v>58</v>
      </c>
      <c r="AK20" s="156" t="str">
        <f t="shared" si="10"/>
        <v>04</v>
      </c>
      <c r="AL20" s="161" t="str">
        <f t="shared" si="11"/>
        <v>13:58,04</v>
      </c>
      <c r="AM20" s="156">
        <f t="shared" si="12"/>
        <v>9.699537037037036E-3</v>
      </c>
    </row>
    <row r="21" spans="2:39" x14ac:dyDescent="0.25">
      <c r="T21" s="138">
        <v>11</v>
      </c>
      <c r="U21" s="138">
        <v>10</v>
      </c>
      <c r="V21" s="138">
        <v>9</v>
      </c>
      <c r="W21" s="138">
        <v>8</v>
      </c>
      <c r="X21" s="138">
        <v>7</v>
      </c>
      <c r="Y21" s="138">
        <v>6</v>
      </c>
      <c r="Z21" s="138">
        <v>5</v>
      </c>
      <c r="AA21" s="162"/>
      <c r="AB21" s="163"/>
      <c r="AC21" s="164"/>
      <c r="AD21" s="165"/>
      <c r="AE21" s="166"/>
      <c r="AF21" s="164"/>
      <c r="AG21" s="165"/>
      <c r="AH21" s="166"/>
      <c r="AI21" s="163"/>
      <c r="AJ21" s="162"/>
      <c r="AK21" s="163"/>
      <c r="AL21" s="167"/>
      <c r="AM21" s="163"/>
    </row>
    <row r="22" spans="2:39" ht="22.8" x14ac:dyDescent="0.25">
      <c r="B22" s="135"/>
      <c r="C22" s="136"/>
      <c r="D22" s="136"/>
      <c r="E22" s="136"/>
      <c r="F22" s="136"/>
      <c r="G22" s="145"/>
      <c r="H22" s="148" t="str">
        <f>IF(C22="","",HLOOKUP(CONCATENATE("M",C22),'KAVVV Records &amp; age-grading'!$C$1:$Q$1,1,TRUE))</f>
        <v/>
      </c>
      <c r="I22" s="149" t="str">
        <f>IF(H22="","",HLOOKUP(H22,'KAVVV Records &amp; age-grading'!$C$1:$P$29,AA22+2,TRUE))</f>
        <v/>
      </c>
      <c r="J22" s="150" t="str">
        <f t="shared" ref="J22" si="50">IF(AC22+AD22+AE22=0,"",CONCATENATE(AC22,":",AD22,",",AE22))</f>
        <v/>
      </c>
      <c r="K22" s="144"/>
      <c r="L22" s="151" t="str">
        <f t="shared" ref="L22" si="51">IF(D22+E22+F22=0,"",HLOOKUP(AM22,U22:Z23,2,TRUE))</f>
        <v/>
      </c>
      <c r="M22" s="152"/>
      <c r="N22" s="153" t="str">
        <f t="shared" ref="N22:S52" si="52">IF($I22="","",N$4*$I22)</f>
        <v/>
      </c>
      <c r="O22" s="153" t="str">
        <f t="shared" si="52"/>
        <v/>
      </c>
      <c r="P22" s="153" t="str">
        <f t="shared" si="52"/>
        <v/>
      </c>
      <c r="Q22" s="153" t="str">
        <f t="shared" si="52"/>
        <v/>
      </c>
      <c r="R22" s="153" t="str">
        <f t="shared" si="52"/>
        <v/>
      </c>
      <c r="S22" s="153" t="str">
        <f t="shared" si="52"/>
        <v/>
      </c>
      <c r="T22" s="154">
        <v>0</v>
      </c>
      <c r="U22" s="155" t="str">
        <f t="shared" ref="U22" si="53">N22</f>
        <v/>
      </c>
      <c r="V22" s="155" t="str">
        <f t="shared" ref="V22" si="54">O22</f>
        <v/>
      </c>
      <c r="W22" s="155" t="str">
        <f t="shared" ref="W22" si="55">P22</f>
        <v/>
      </c>
      <c r="X22" s="155" t="str">
        <f t="shared" ref="X22" si="56">Q22</f>
        <v/>
      </c>
      <c r="Y22" s="155" t="str">
        <f t="shared" ref="Y22" si="57">R22</f>
        <v/>
      </c>
      <c r="Z22" s="155" t="str">
        <f t="shared" ref="Z22" si="58">S22</f>
        <v/>
      </c>
      <c r="AA22" s="156" t="e">
        <f>VLOOKUP(B22,'KAVVV Records &amp; age-grading'!$A$3:$B$28,2,FALSE)</f>
        <v>#N/A</v>
      </c>
      <c r="AB22" s="156"/>
      <c r="AC22" s="157" t="str">
        <f t="shared" ref="AC22" si="59">IF(B22&lt;10,CONCATENATE("0",D22),D22)</f>
        <v>0</v>
      </c>
      <c r="AD22" s="158" t="str">
        <f t="shared" ref="AD22" si="60">IF(E22&lt;10,CONCATENATE("0",E22),E22)</f>
        <v>0</v>
      </c>
      <c r="AE22" s="159" t="str">
        <f t="shared" ref="AE22" si="61">IF(F22&lt;10,CONCATENATE("0",F22),F22)</f>
        <v>0</v>
      </c>
      <c r="AF22" s="157" t="str">
        <f t="shared" ref="AF22" si="62">IF(AD22=0,IF(AE22=0,AC22-1,AC22),AC22)</f>
        <v>0</v>
      </c>
      <c r="AG22" s="158" t="str">
        <f t="shared" ref="AG22" si="63">IF(AE22="00",IF(AD22=0,59,AD22-1),AD22)</f>
        <v>0</v>
      </c>
      <c r="AH22" s="159">
        <f t="shared" ref="AH22" si="64">IF(AE22="00",99,AE22-1)</f>
        <v>-1</v>
      </c>
      <c r="AI22" s="156" t="str">
        <f t="shared" ref="AI22" si="65">IF(AF22&lt;10,CONCATENATE("0",AF22),AF22)</f>
        <v>0</v>
      </c>
      <c r="AJ22" s="160" t="str">
        <f t="shared" ref="AJ22" si="66">IF(AG22&lt;10,CONCATENATE("0",AG22),AG22)</f>
        <v>0</v>
      </c>
      <c r="AK22" s="156" t="str">
        <f t="shared" ref="AK22" si="67">IF(AH22&lt;10,CONCATENATE("0",AH22),AH22)</f>
        <v>0-1</v>
      </c>
      <c r="AL22" s="161" t="str">
        <f t="shared" ref="AL22" si="68">CONCATENATE(AI22,":",AJ22,",",AK22)</f>
        <v>0:0,0-1</v>
      </c>
      <c r="AM22" s="156" t="e">
        <f t="shared" si="12"/>
        <v>#VALUE!</v>
      </c>
    </row>
    <row r="23" spans="2:39" x14ac:dyDescent="0.25">
      <c r="T23" s="138">
        <v>11</v>
      </c>
      <c r="U23" s="138">
        <v>10</v>
      </c>
      <c r="V23" s="138">
        <v>9</v>
      </c>
      <c r="W23" s="138">
        <v>8</v>
      </c>
      <c r="X23" s="138">
        <v>7</v>
      </c>
      <c r="Y23" s="138">
        <v>6</v>
      </c>
      <c r="Z23" s="138">
        <v>5</v>
      </c>
      <c r="AA23" s="162"/>
      <c r="AB23" s="163"/>
      <c r="AC23" s="164"/>
      <c r="AD23" s="165"/>
      <c r="AE23" s="166"/>
      <c r="AF23" s="164"/>
      <c r="AG23" s="165"/>
      <c r="AH23" s="166"/>
      <c r="AI23" s="163"/>
      <c r="AJ23" s="162"/>
      <c r="AK23" s="163"/>
      <c r="AL23" s="167"/>
      <c r="AM23" s="163"/>
    </row>
    <row r="24" spans="2:39" ht="22.8" x14ac:dyDescent="0.25">
      <c r="B24" s="135"/>
      <c r="C24" s="136"/>
      <c r="D24" s="136"/>
      <c r="E24" s="136"/>
      <c r="F24" s="136"/>
      <c r="G24" s="145"/>
      <c r="H24" s="148" t="str">
        <f>IF(C24="","",HLOOKUP(CONCATENATE("M",C24),'KAVVV Records &amp; age-grading'!$C$1:$Q$1,1,TRUE))</f>
        <v/>
      </c>
      <c r="I24" s="149" t="str">
        <f>IF(H24="","",HLOOKUP(H24,'KAVVV Records &amp; age-grading'!$C$1:$P$29,AA24+2,TRUE))</f>
        <v/>
      </c>
      <c r="J24" s="150" t="str">
        <f t="shared" ref="J24" si="69">IF(AC24+AD24+AE24=0,"",CONCATENATE(AC24,":",AD24,",",AE24))</f>
        <v/>
      </c>
      <c r="K24" s="144"/>
      <c r="L24" s="151" t="str">
        <f t="shared" ref="L24" si="70">IF(D24+E24+F24=0,"",HLOOKUP(AM24,U24:Z25,2,TRUE))</f>
        <v/>
      </c>
      <c r="M24" s="152"/>
      <c r="N24" s="153" t="str">
        <f t="shared" ref="N24" si="71">IF($I24="","",N$4*$I24)</f>
        <v/>
      </c>
      <c r="O24" s="153" t="str">
        <f t="shared" si="52"/>
        <v/>
      </c>
      <c r="P24" s="153" t="str">
        <f t="shared" si="52"/>
        <v/>
      </c>
      <c r="Q24" s="153" t="str">
        <f t="shared" si="52"/>
        <v/>
      </c>
      <c r="R24" s="153" t="str">
        <f t="shared" si="52"/>
        <v/>
      </c>
      <c r="S24" s="153" t="str">
        <f t="shared" si="52"/>
        <v/>
      </c>
      <c r="T24" s="154">
        <v>0</v>
      </c>
      <c r="U24" s="155" t="str">
        <f t="shared" ref="U24" si="72">N24</f>
        <v/>
      </c>
      <c r="V24" s="155" t="str">
        <f t="shared" ref="V24" si="73">O24</f>
        <v/>
      </c>
      <c r="W24" s="155" t="str">
        <f t="shared" ref="W24" si="74">P24</f>
        <v/>
      </c>
      <c r="X24" s="155" t="str">
        <f t="shared" ref="X24" si="75">Q24</f>
        <v/>
      </c>
      <c r="Y24" s="155" t="str">
        <f t="shared" ref="Y24" si="76">R24</f>
        <v/>
      </c>
      <c r="Z24" s="155" t="str">
        <f t="shared" ref="Z24" si="77">S24</f>
        <v/>
      </c>
      <c r="AA24" s="156" t="e">
        <f>VLOOKUP(B24,'KAVVV Records &amp; age-grading'!$A$3:$B$28,2,FALSE)</f>
        <v>#N/A</v>
      </c>
      <c r="AB24" s="156"/>
      <c r="AC24" s="157" t="str">
        <f t="shared" ref="AC24" si="78">IF(B24&lt;10,CONCATENATE("0",D24),D24)</f>
        <v>0</v>
      </c>
      <c r="AD24" s="158" t="str">
        <f t="shared" ref="AD24" si="79">IF(E24&lt;10,CONCATENATE("0",E24),E24)</f>
        <v>0</v>
      </c>
      <c r="AE24" s="159" t="str">
        <f t="shared" ref="AE24" si="80">IF(F24&lt;10,CONCATENATE("0",F24),F24)</f>
        <v>0</v>
      </c>
      <c r="AF24" s="157" t="str">
        <f t="shared" ref="AF24" si="81">IF(AD24=0,IF(AE24=0,AC24-1,AC24),AC24)</f>
        <v>0</v>
      </c>
      <c r="AG24" s="158" t="str">
        <f t="shared" ref="AG24" si="82">IF(AE24="00",IF(AD24=0,59,AD24-1),AD24)</f>
        <v>0</v>
      </c>
      <c r="AH24" s="159">
        <f t="shared" ref="AH24" si="83">IF(AE24="00",99,AE24-1)</f>
        <v>-1</v>
      </c>
      <c r="AI24" s="156" t="str">
        <f t="shared" ref="AI24" si="84">IF(AF24&lt;10,CONCATENATE("0",AF24),AF24)</f>
        <v>0</v>
      </c>
      <c r="AJ24" s="160" t="str">
        <f t="shared" ref="AJ24" si="85">IF(AG24&lt;10,CONCATENATE("0",AG24),AG24)</f>
        <v>0</v>
      </c>
      <c r="AK24" s="156" t="str">
        <f t="shared" ref="AK24" si="86">IF(AH24&lt;10,CONCATENATE("0",AH24),AH24)</f>
        <v>0-1</v>
      </c>
      <c r="AL24" s="161" t="str">
        <f t="shared" ref="AL24" si="87">CONCATENATE(AI24,":",AJ24,",",AK24)</f>
        <v>0:0,0-1</v>
      </c>
      <c r="AM24" s="156" t="e">
        <f t="shared" si="12"/>
        <v>#VALUE!</v>
      </c>
    </row>
    <row r="25" spans="2:39" x14ac:dyDescent="0.25">
      <c r="T25" s="138">
        <v>11</v>
      </c>
      <c r="U25" s="138">
        <v>10</v>
      </c>
      <c r="V25" s="138">
        <v>9</v>
      </c>
      <c r="W25" s="138">
        <v>8</v>
      </c>
      <c r="X25" s="138">
        <v>7</v>
      </c>
      <c r="Y25" s="138">
        <v>6</v>
      </c>
      <c r="Z25" s="138">
        <v>5</v>
      </c>
      <c r="AA25" s="162"/>
      <c r="AB25" s="163"/>
      <c r="AC25" s="164"/>
      <c r="AD25" s="165"/>
      <c r="AE25" s="166"/>
      <c r="AF25" s="164"/>
      <c r="AG25" s="165"/>
      <c r="AH25" s="166"/>
      <c r="AI25" s="163"/>
      <c r="AJ25" s="162"/>
      <c r="AK25" s="163"/>
      <c r="AL25" s="167"/>
      <c r="AM25" s="163"/>
    </row>
    <row r="26" spans="2:39" ht="22.8" x14ac:dyDescent="0.25">
      <c r="B26" s="135"/>
      <c r="C26" s="136"/>
      <c r="D26" s="136"/>
      <c r="E26" s="136"/>
      <c r="F26" s="136"/>
      <c r="G26" s="145"/>
      <c r="H26" s="148" t="str">
        <f>IF(C26="","",HLOOKUP(CONCATENATE("M",C26),'KAVVV Records &amp; age-grading'!$C$1:$Q$1,1,TRUE))</f>
        <v/>
      </c>
      <c r="I26" s="149" t="str">
        <f>IF(H26="","",HLOOKUP(H26,'KAVVV Records &amp; age-grading'!$C$1:$P$29,AA26+2,TRUE))</f>
        <v/>
      </c>
      <c r="J26" s="150" t="str">
        <f t="shared" ref="J26" si="88">IF(AC26+AD26+AE26=0,"",CONCATENATE(AC26,":",AD26,",",AE26))</f>
        <v/>
      </c>
      <c r="K26" s="144"/>
      <c r="L26" s="151" t="str">
        <f t="shared" ref="L26" si="89">IF(D26+E26+F26=0,"",HLOOKUP(AM26,U26:Z27,2,TRUE))</f>
        <v/>
      </c>
      <c r="M26" s="152"/>
      <c r="N26" s="153" t="str">
        <f t="shared" ref="N26" si="90">IF($I26="","",N$4*$I26)</f>
        <v/>
      </c>
      <c r="O26" s="153" t="str">
        <f t="shared" si="52"/>
        <v/>
      </c>
      <c r="P26" s="153" t="str">
        <f t="shared" si="52"/>
        <v/>
      </c>
      <c r="Q26" s="153" t="str">
        <f t="shared" si="52"/>
        <v/>
      </c>
      <c r="R26" s="153" t="str">
        <f t="shared" si="52"/>
        <v/>
      </c>
      <c r="S26" s="153" t="str">
        <f t="shared" si="52"/>
        <v/>
      </c>
      <c r="T26" s="154">
        <v>0</v>
      </c>
      <c r="U26" s="155" t="str">
        <f t="shared" ref="U26" si="91">N26</f>
        <v/>
      </c>
      <c r="V26" s="155" t="str">
        <f t="shared" ref="V26" si="92">O26</f>
        <v/>
      </c>
      <c r="W26" s="155" t="str">
        <f t="shared" ref="W26" si="93">P26</f>
        <v/>
      </c>
      <c r="X26" s="155" t="str">
        <f t="shared" ref="X26" si="94">Q26</f>
        <v/>
      </c>
      <c r="Y26" s="155" t="str">
        <f t="shared" ref="Y26" si="95">R26</f>
        <v/>
      </c>
      <c r="Z26" s="155" t="str">
        <f t="shared" ref="Z26" si="96">S26</f>
        <v/>
      </c>
      <c r="AA26" s="156" t="e">
        <f>VLOOKUP(B26,'KAVVV Records &amp; age-grading'!$A$3:$B$28,2,FALSE)</f>
        <v>#N/A</v>
      </c>
      <c r="AB26" s="156"/>
      <c r="AC26" s="157" t="str">
        <f t="shared" ref="AC26" si="97">IF(B26&lt;10,CONCATENATE("0",D26),D26)</f>
        <v>0</v>
      </c>
      <c r="AD26" s="158" t="str">
        <f t="shared" ref="AD26" si="98">IF(E26&lt;10,CONCATENATE("0",E26),E26)</f>
        <v>0</v>
      </c>
      <c r="AE26" s="159" t="str">
        <f t="shared" ref="AE26" si="99">IF(F26&lt;10,CONCATENATE("0",F26),F26)</f>
        <v>0</v>
      </c>
      <c r="AF26" s="157" t="str">
        <f t="shared" ref="AF26" si="100">IF(AD26=0,IF(AE26=0,AC26-1,AC26),AC26)</f>
        <v>0</v>
      </c>
      <c r="AG26" s="158" t="str">
        <f t="shared" ref="AG26" si="101">IF(AE26="00",IF(AD26=0,59,AD26-1),AD26)</f>
        <v>0</v>
      </c>
      <c r="AH26" s="159">
        <f t="shared" ref="AH26" si="102">IF(AE26="00",99,AE26-1)</f>
        <v>-1</v>
      </c>
      <c r="AI26" s="156" t="str">
        <f t="shared" ref="AI26" si="103">IF(AF26&lt;10,CONCATENATE("0",AF26),AF26)</f>
        <v>0</v>
      </c>
      <c r="AJ26" s="160" t="str">
        <f t="shared" ref="AJ26" si="104">IF(AG26&lt;10,CONCATENATE("0",AG26),AG26)</f>
        <v>0</v>
      </c>
      <c r="AK26" s="156" t="str">
        <f t="shared" ref="AK26" si="105">IF(AH26&lt;10,CONCATENATE("0",AH26),AH26)</f>
        <v>0-1</v>
      </c>
      <c r="AL26" s="161" t="str">
        <f t="shared" ref="AL26" si="106">CONCATENATE(AI26,":",AJ26,",",AK26)</f>
        <v>0:0,0-1</v>
      </c>
      <c r="AM26" s="156" t="e">
        <f t="shared" si="12"/>
        <v>#VALUE!</v>
      </c>
    </row>
    <row r="27" spans="2:39" x14ac:dyDescent="0.25">
      <c r="T27" s="138">
        <v>11</v>
      </c>
      <c r="U27" s="138">
        <v>10</v>
      </c>
      <c r="V27" s="138">
        <v>9</v>
      </c>
      <c r="W27" s="138">
        <v>8</v>
      </c>
      <c r="X27" s="138">
        <v>7</v>
      </c>
      <c r="Y27" s="138">
        <v>6</v>
      </c>
      <c r="Z27" s="138">
        <v>5</v>
      </c>
      <c r="AA27" s="162"/>
      <c r="AB27" s="163"/>
      <c r="AC27" s="164"/>
      <c r="AD27" s="165"/>
      <c r="AE27" s="166"/>
      <c r="AF27" s="164"/>
      <c r="AG27" s="165"/>
      <c r="AH27" s="166"/>
      <c r="AI27" s="163"/>
      <c r="AJ27" s="162"/>
      <c r="AK27" s="163"/>
      <c r="AL27" s="167"/>
      <c r="AM27" s="163"/>
    </row>
    <row r="28" spans="2:39" ht="22.8" x14ac:dyDescent="0.25">
      <c r="B28" s="135"/>
      <c r="C28" s="136"/>
      <c r="D28" s="136"/>
      <c r="E28" s="136"/>
      <c r="F28" s="136"/>
      <c r="G28" s="145"/>
      <c r="H28" s="148" t="str">
        <f>IF(C28="","",HLOOKUP(CONCATENATE("M",C28),'KAVVV Records &amp; age-grading'!$C$1:$Q$1,1,TRUE))</f>
        <v/>
      </c>
      <c r="I28" s="149" t="str">
        <f>IF(H28="","",HLOOKUP(H28,'KAVVV Records &amp; age-grading'!$C$1:$P$29,AA28+2,TRUE))</f>
        <v/>
      </c>
      <c r="J28" s="150" t="str">
        <f t="shared" ref="J28" si="107">IF(AC28+AD28+AE28=0,"",CONCATENATE(AC28,":",AD28,",",AE28))</f>
        <v/>
      </c>
      <c r="K28" s="144"/>
      <c r="L28" s="151" t="str">
        <f t="shared" ref="L28" si="108">IF(D28+E28+F28=0,"",HLOOKUP(AM28,U28:Z29,2,TRUE))</f>
        <v/>
      </c>
      <c r="M28" s="152"/>
      <c r="N28" s="153" t="str">
        <f t="shared" ref="N28" si="109">IF($I28="","",N$4*$I28)</f>
        <v/>
      </c>
      <c r="O28" s="153" t="str">
        <f t="shared" si="52"/>
        <v/>
      </c>
      <c r="P28" s="153" t="str">
        <f t="shared" si="52"/>
        <v/>
      </c>
      <c r="Q28" s="153" t="str">
        <f t="shared" si="52"/>
        <v/>
      </c>
      <c r="R28" s="153" t="str">
        <f t="shared" si="52"/>
        <v/>
      </c>
      <c r="S28" s="153" t="str">
        <f t="shared" si="52"/>
        <v/>
      </c>
      <c r="T28" s="154">
        <v>0</v>
      </c>
      <c r="U28" s="155" t="str">
        <f t="shared" ref="U28" si="110">N28</f>
        <v/>
      </c>
      <c r="V28" s="155" t="str">
        <f t="shared" ref="V28" si="111">O28</f>
        <v/>
      </c>
      <c r="W28" s="155" t="str">
        <f t="shared" ref="W28" si="112">P28</f>
        <v/>
      </c>
      <c r="X28" s="155" t="str">
        <f t="shared" ref="X28" si="113">Q28</f>
        <v/>
      </c>
      <c r="Y28" s="155" t="str">
        <f t="shared" ref="Y28" si="114">R28</f>
        <v/>
      </c>
      <c r="Z28" s="155" t="str">
        <f t="shared" ref="Z28" si="115">S28</f>
        <v/>
      </c>
      <c r="AA28" s="156" t="e">
        <f>VLOOKUP(B28,'KAVVV Records &amp; age-grading'!$A$3:$B$28,2,FALSE)</f>
        <v>#N/A</v>
      </c>
      <c r="AB28" s="156"/>
      <c r="AC28" s="157" t="str">
        <f t="shared" ref="AC28" si="116">IF(B28&lt;10,CONCATENATE("0",D28),D28)</f>
        <v>0</v>
      </c>
      <c r="AD28" s="158" t="str">
        <f t="shared" ref="AD28" si="117">IF(E28&lt;10,CONCATENATE("0",E28),E28)</f>
        <v>0</v>
      </c>
      <c r="AE28" s="159" t="str">
        <f t="shared" ref="AE28" si="118">IF(F28&lt;10,CONCATENATE("0",F28),F28)</f>
        <v>0</v>
      </c>
      <c r="AF28" s="157" t="str">
        <f t="shared" ref="AF28" si="119">IF(AD28=0,IF(AE28=0,AC28-1,AC28),AC28)</f>
        <v>0</v>
      </c>
      <c r="AG28" s="158" t="str">
        <f t="shared" ref="AG28" si="120">IF(AE28="00",IF(AD28=0,59,AD28-1),AD28)</f>
        <v>0</v>
      </c>
      <c r="AH28" s="159">
        <f t="shared" ref="AH28" si="121">IF(AE28="00",99,AE28-1)</f>
        <v>-1</v>
      </c>
      <c r="AI28" s="156" t="str">
        <f t="shared" ref="AI28" si="122">IF(AF28&lt;10,CONCATENATE("0",AF28),AF28)</f>
        <v>0</v>
      </c>
      <c r="AJ28" s="160" t="str">
        <f t="shared" ref="AJ28" si="123">IF(AG28&lt;10,CONCATENATE("0",AG28),AG28)</f>
        <v>0</v>
      </c>
      <c r="AK28" s="156" t="str">
        <f t="shared" ref="AK28" si="124">IF(AH28&lt;10,CONCATENATE("0",AH28),AH28)</f>
        <v>0-1</v>
      </c>
      <c r="AL28" s="161" t="str">
        <f t="shared" ref="AL28" si="125">CONCATENATE(AI28,":",AJ28,",",AK28)</f>
        <v>0:0,0-1</v>
      </c>
      <c r="AM28" s="156" t="e">
        <f t="shared" si="12"/>
        <v>#VALUE!</v>
      </c>
    </row>
    <row r="29" spans="2:39" x14ac:dyDescent="0.25">
      <c r="T29" s="138">
        <v>11</v>
      </c>
      <c r="U29" s="138">
        <v>10</v>
      </c>
      <c r="V29" s="138">
        <v>9</v>
      </c>
      <c r="W29" s="138">
        <v>8</v>
      </c>
      <c r="X29" s="138">
        <v>7</v>
      </c>
      <c r="Y29" s="138">
        <v>6</v>
      </c>
      <c r="Z29" s="138">
        <v>5</v>
      </c>
      <c r="AA29" s="162"/>
      <c r="AB29" s="163"/>
      <c r="AC29" s="164"/>
      <c r="AD29" s="165"/>
      <c r="AE29" s="166"/>
      <c r="AF29" s="164"/>
      <c r="AG29" s="165"/>
      <c r="AH29" s="166"/>
      <c r="AI29" s="163"/>
      <c r="AJ29" s="162"/>
      <c r="AK29" s="163"/>
      <c r="AL29" s="167"/>
      <c r="AM29" s="163"/>
    </row>
    <row r="30" spans="2:39" ht="22.8" x14ac:dyDescent="0.25">
      <c r="B30" s="135"/>
      <c r="C30" s="136"/>
      <c r="D30" s="136"/>
      <c r="E30" s="136"/>
      <c r="F30" s="136"/>
      <c r="G30" s="145"/>
      <c r="H30" s="148" t="str">
        <f>IF(C30="","",HLOOKUP(CONCATENATE("M",C30),'KAVVV Records &amp; age-grading'!$C$1:$Q$1,1,TRUE))</f>
        <v/>
      </c>
      <c r="I30" s="149" t="str">
        <f>IF(H30="","",HLOOKUP(H30,'KAVVV Records &amp; age-grading'!$C$1:$P$29,AA30+2,TRUE))</f>
        <v/>
      </c>
      <c r="J30" s="150" t="str">
        <f t="shared" ref="J30" si="126">IF(AC30+AD30+AE30=0,"",CONCATENATE(AC30,":",AD30,",",AE30))</f>
        <v/>
      </c>
      <c r="K30" s="144"/>
      <c r="L30" s="151" t="str">
        <f t="shared" ref="L30" si="127">IF(D30+E30+F30=0,"",HLOOKUP(AM30,U30:Z31,2,TRUE))</f>
        <v/>
      </c>
      <c r="M30" s="152"/>
      <c r="N30" s="153" t="str">
        <f t="shared" ref="N30" si="128">IF($I30="","",N$4*$I30)</f>
        <v/>
      </c>
      <c r="O30" s="153" t="str">
        <f t="shared" si="52"/>
        <v/>
      </c>
      <c r="P30" s="153" t="str">
        <f t="shared" si="52"/>
        <v/>
      </c>
      <c r="Q30" s="153" t="str">
        <f t="shared" si="52"/>
        <v/>
      </c>
      <c r="R30" s="153" t="str">
        <f t="shared" si="52"/>
        <v/>
      </c>
      <c r="S30" s="153" t="str">
        <f t="shared" si="52"/>
        <v/>
      </c>
      <c r="T30" s="154">
        <v>0</v>
      </c>
      <c r="U30" s="155" t="str">
        <f t="shared" ref="U30" si="129">N30</f>
        <v/>
      </c>
      <c r="V30" s="155" t="str">
        <f t="shared" ref="V30" si="130">O30</f>
        <v/>
      </c>
      <c r="W30" s="155" t="str">
        <f t="shared" ref="W30" si="131">P30</f>
        <v/>
      </c>
      <c r="X30" s="155" t="str">
        <f t="shared" ref="X30" si="132">Q30</f>
        <v/>
      </c>
      <c r="Y30" s="155" t="str">
        <f t="shared" ref="Y30" si="133">R30</f>
        <v/>
      </c>
      <c r="Z30" s="155" t="str">
        <f t="shared" ref="Z30" si="134">S30</f>
        <v/>
      </c>
      <c r="AA30" s="156" t="e">
        <f>VLOOKUP(B30,'KAVVV Records &amp; age-grading'!$A$3:$B$28,2,FALSE)</f>
        <v>#N/A</v>
      </c>
      <c r="AB30" s="156"/>
      <c r="AC30" s="157" t="str">
        <f t="shared" ref="AC30" si="135">IF(B30&lt;10,CONCATENATE("0",D30),D30)</f>
        <v>0</v>
      </c>
      <c r="AD30" s="158" t="str">
        <f t="shared" ref="AD30" si="136">IF(E30&lt;10,CONCATENATE("0",E30),E30)</f>
        <v>0</v>
      </c>
      <c r="AE30" s="159" t="str">
        <f t="shared" ref="AE30" si="137">IF(F30&lt;10,CONCATENATE("0",F30),F30)</f>
        <v>0</v>
      </c>
      <c r="AF30" s="157" t="str">
        <f t="shared" ref="AF30" si="138">IF(AD30=0,IF(AE30=0,AC30-1,AC30),AC30)</f>
        <v>0</v>
      </c>
      <c r="AG30" s="158" t="str">
        <f t="shared" ref="AG30" si="139">IF(AE30="00",IF(AD30=0,59,AD30-1),AD30)</f>
        <v>0</v>
      </c>
      <c r="AH30" s="159">
        <f t="shared" ref="AH30" si="140">IF(AE30="00",99,AE30-1)</f>
        <v>-1</v>
      </c>
      <c r="AI30" s="156" t="str">
        <f t="shared" ref="AI30" si="141">IF(AF30&lt;10,CONCATENATE("0",AF30),AF30)</f>
        <v>0</v>
      </c>
      <c r="AJ30" s="160" t="str">
        <f t="shared" ref="AJ30" si="142">IF(AG30&lt;10,CONCATENATE("0",AG30),AG30)</f>
        <v>0</v>
      </c>
      <c r="AK30" s="156" t="str">
        <f t="shared" ref="AK30" si="143">IF(AH30&lt;10,CONCATENATE("0",AH30),AH30)</f>
        <v>0-1</v>
      </c>
      <c r="AL30" s="161" t="str">
        <f t="shared" ref="AL30" si="144">CONCATENATE(AI30,":",AJ30,",",AK30)</f>
        <v>0:0,0-1</v>
      </c>
      <c r="AM30" s="156" t="e">
        <f t="shared" si="12"/>
        <v>#VALUE!</v>
      </c>
    </row>
    <row r="31" spans="2:39" x14ac:dyDescent="0.25">
      <c r="T31" s="138">
        <v>11</v>
      </c>
      <c r="U31" s="138">
        <v>10</v>
      </c>
      <c r="V31" s="138">
        <v>9</v>
      </c>
      <c r="W31" s="138">
        <v>8</v>
      </c>
      <c r="X31" s="138">
        <v>7</v>
      </c>
      <c r="Y31" s="138">
        <v>6</v>
      </c>
      <c r="Z31" s="138">
        <v>5</v>
      </c>
      <c r="AA31" s="162"/>
      <c r="AB31" s="163"/>
      <c r="AC31" s="164"/>
      <c r="AD31" s="165"/>
      <c r="AE31" s="166"/>
      <c r="AF31" s="164"/>
      <c r="AG31" s="165"/>
      <c r="AH31" s="166"/>
      <c r="AI31" s="163"/>
      <c r="AJ31" s="162"/>
      <c r="AK31" s="163"/>
      <c r="AL31" s="167"/>
      <c r="AM31" s="163"/>
    </row>
    <row r="32" spans="2:39" ht="22.8" x14ac:dyDescent="0.25">
      <c r="B32" s="135"/>
      <c r="C32" s="136"/>
      <c r="D32" s="136"/>
      <c r="E32" s="136"/>
      <c r="F32" s="136"/>
      <c r="G32" s="145"/>
      <c r="H32" s="148" t="str">
        <f>IF(C32="","",HLOOKUP(CONCATENATE("M",C32),'KAVVV Records &amp; age-grading'!$C$1:$Q$1,1,TRUE))</f>
        <v/>
      </c>
      <c r="I32" s="149" t="str">
        <f>IF(H32="","",HLOOKUP(H32,'KAVVV Records &amp; age-grading'!$C$1:$P$29,AA32+2,TRUE))</f>
        <v/>
      </c>
      <c r="J32" s="150" t="str">
        <f t="shared" ref="J32" si="145">IF(AC32+AD32+AE32=0,"",CONCATENATE(AC32,":",AD32,",",AE32))</f>
        <v/>
      </c>
      <c r="K32" s="144"/>
      <c r="L32" s="151" t="str">
        <f t="shared" ref="L32" si="146">IF(D32+E32+F32=0,"",HLOOKUP(AM32,U32:Z33,2,TRUE))</f>
        <v/>
      </c>
      <c r="M32" s="152"/>
      <c r="N32" s="153" t="str">
        <f t="shared" ref="N32" si="147">IF($I32="","",N$4*$I32)</f>
        <v/>
      </c>
      <c r="O32" s="153" t="str">
        <f t="shared" si="52"/>
        <v/>
      </c>
      <c r="P32" s="153" t="str">
        <f t="shared" si="52"/>
        <v/>
      </c>
      <c r="Q32" s="153" t="str">
        <f t="shared" si="52"/>
        <v/>
      </c>
      <c r="R32" s="153" t="str">
        <f t="shared" si="52"/>
        <v/>
      </c>
      <c r="S32" s="153" t="str">
        <f t="shared" si="52"/>
        <v/>
      </c>
      <c r="T32" s="154">
        <v>0</v>
      </c>
      <c r="U32" s="155" t="str">
        <f t="shared" ref="U32" si="148">N32</f>
        <v/>
      </c>
      <c r="V32" s="155" t="str">
        <f t="shared" ref="V32" si="149">O32</f>
        <v/>
      </c>
      <c r="W32" s="155" t="str">
        <f t="shared" ref="W32" si="150">P32</f>
        <v/>
      </c>
      <c r="X32" s="155" t="str">
        <f t="shared" ref="X32" si="151">Q32</f>
        <v/>
      </c>
      <c r="Y32" s="155" t="str">
        <f t="shared" ref="Y32" si="152">R32</f>
        <v/>
      </c>
      <c r="Z32" s="155" t="str">
        <f t="shared" ref="Z32" si="153">S32</f>
        <v/>
      </c>
      <c r="AA32" s="156" t="e">
        <f>VLOOKUP(B32,'KAVVV Records &amp; age-grading'!$A$3:$B$28,2,FALSE)</f>
        <v>#N/A</v>
      </c>
      <c r="AB32" s="156"/>
      <c r="AC32" s="157" t="str">
        <f t="shared" ref="AC32" si="154">IF(B32&lt;10,CONCATENATE("0",D32),D32)</f>
        <v>0</v>
      </c>
      <c r="AD32" s="158" t="str">
        <f t="shared" ref="AD32" si="155">IF(E32&lt;10,CONCATENATE("0",E32),E32)</f>
        <v>0</v>
      </c>
      <c r="AE32" s="159" t="str">
        <f t="shared" ref="AE32" si="156">IF(F32&lt;10,CONCATENATE("0",F32),F32)</f>
        <v>0</v>
      </c>
      <c r="AF32" s="157" t="str">
        <f t="shared" ref="AF32" si="157">IF(AD32=0,IF(AE32=0,AC32-1,AC32),AC32)</f>
        <v>0</v>
      </c>
      <c r="AG32" s="158" t="str">
        <f t="shared" ref="AG32" si="158">IF(AE32="00",IF(AD32=0,59,AD32-1),AD32)</f>
        <v>0</v>
      </c>
      <c r="AH32" s="159">
        <f t="shared" ref="AH32" si="159">IF(AE32="00",99,AE32-1)</f>
        <v>-1</v>
      </c>
      <c r="AI32" s="156" t="str">
        <f t="shared" ref="AI32" si="160">IF(AF32&lt;10,CONCATENATE("0",AF32),AF32)</f>
        <v>0</v>
      </c>
      <c r="AJ32" s="160" t="str">
        <f t="shared" ref="AJ32" si="161">IF(AG32&lt;10,CONCATENATE("0",AG32),AG32)</f>
        <v>0</v>
      </c>
      <c r="AK32" s="156" t="str">
        <f t="shared" ref="AK32" si="162">IF(AH32&lt;10,CONCATENATE("0",AH32),AH32)</f>
        <v>0-1</v>
      </c>
      <c r="AL32" s="161" t="str">
        <f t="shared" ref="AL32" si="163">CONCATENATE(AI32,":",AJ32,",",AK32)</f>
        <v>0:0,0-1</v>
      </c>
      <c r="AM32" s="156" t="e">
        <f t="shared" si="12"/>
        <v>#VALUE!</v>
      </c>
    </row>
    <row r="33" spans="2:39" x14ac:dyDescent="0.25">
      <c r="T33" s="138">
        <v>11</v>
      </c>
      <c r="U33" s="138">
        <v>10</v>
      </c>
      <c r="V33" s="138">
        <v>9</v>
      </c>
      <c r="W33" s="138">
        <v>8</v>
      </c>
      <c r="X33" s="138">
        <v>7</v>
      </c>
      <c r="Y33" s="138">
        <v>6</v>
      </c>
      <c r="Z33" s="138">
        <v>5</v>
      </c>
      <c r="AA33" s="162"/>
      <c r="AB33" s="163"/>
      <c r="AC33" s="164"/>
      <c r="AD33" s="165"/>
      <c r="AE33" s="166"/>
      <c r="AF33" s="164"/>
      <c r="AG33" s="165"/>
      <c r="AH33" s="166"/>
      <c r="AI33" s="163"/>
      <c r="AJ33" s="162"/>
      <c r="AK33" s="163"/>
      <c r="AL33" s="167"/>
      <c r="AM33" s="163"/>
    </row>
    <row r="34" spans="2:39" ht="22.8" x14ac:dyDescent="0.25">
      <c r="B34" s="135"/>
      <c r="C34" s="136"/>
      <c r="D34" s="136"/>
      <c r="E34" s="136"/>
      <c r="F34" s="136"/>
      <c r="G34" s="145"/>
      <c r="H34" s="148" t="str">
        <f>IF(C34="","",HLOOKUP(CONCATENATE("M",C34),'KAVVV Records &amp; age-grading'!$C$1:$Q$1,1,TRUE))</f>
        <v/>
      </c>
      <c r="I34" s="149" t="str">
        <f>IF(H34="","",HLOOKUP(H34,'KAVVV Records &amp; age-grading'!$C$1:$P$29,AA34+2,TRUE))</f>
        <v/>
      </c>
      <c r="J34" s="150" t="str">
        <f t="shared" ref="J34" si="164">IF(AC34+AD34+AE34=0,"",CONCATENATE(AC34,":",AD34,",",AE34))</f>
        <v/>
      </c>
      <c r="K34" s="144"/>
      <c r="L34" s="151" t="str">
        <f t="shared" ref="L34" si="165">IF(D34+E34+F34=0,"",HLOOKUP(AM34,U34:Z35,2,TRUE))</f>
        <v/>
      </c>
      <c r="M34" s="152"/>
      <c r="N34" s="153" t="str">
        <f t="shared" ref="N34" si="166">IF($I34="","",N$4*$I34)</f>
        <v/>
      </c>
      <c r="O34" s="153" t="str">
        <f t="shared" si="52"/>
        <v/>
      </c>
      <c r="P34" s="153" t="str">
        <f t="shared" si="52"/>
        <v/>
      </c>
      <c r="Q34" s="153" t="str">
        <f t="shared" si="52"/>
        <v/>
      </c>
      <c r="R34" s="153" t="str">
        <f t="shared" si="52"/>
        <v/>
      </c>
      <c r="S34" s="153" t="str">
        <f t="shared" si="52"/>
        <v/>
      </c>
      <c r="T34" s="154">
        <v>0</v>
      </c>
      <c r="U34" s="155" t="str">
        <f t="shared" ref="U34" si="167">N34</f>
        <v/>
      </c>
      <c r="V34" s="155" t="str">
        <f t="shared" ref="V34" si="168">O34</f>
        <v/>
      </c>
      <c r="W34" s="155" t="str">
        <f t="shared" ref="W34" si="169">P34</f>
        <v/>
      </c>
      <c r="X34" s="155" t="str">
        <f t="shared" ref="X34" si="170">Q34</f>
        <v/>
      </c>
      <c r="Y34" s="155" t="str">
        <f t="shared" ref="Y34" si="171">R34</f>
        <v/>
      </c>
      <c r="Z34" s="155" t="str">
        <f t="shared" ref="Z34" si="172">S34</f>
        <v/>
      </c>
      <c r="AA34" s="156" t="e">
        <f>VLOOKUP(B34,'KAVVV Records &amp; age-grading'!$A$3:$B$28,2,FALSE)</f>
        <v>#N/A</v>
      </c>
      <c r="AB34" s="156"/>
      <c r="AC34" s="157" t="str">
        <f t="shared" ref="AC34" si="173">IF(B34&lt;10,CONCATENATE("0",D34),D34)</f>
        <v>0</v>
      </c>
      <c r="AD34" s="158" t="str">
        <f t="shared" ref="AD34" si="174">IF(E34&lt;10,CONCATENATE("0",E34),E34)</f>
        <v>0</v>
      </c>
      <c r="AE34" s="159" t="str">
        <f t="shared" ref="AE34" si="175">IF(F34&lt;10,CONCATENATE("0",F34),F34)</f>
        <v>0</v>
      </c>
      <c r="AF34" s="157" t="str">
        <f t="shared" ref="AF34" si="176">IF(AD34=0,IF(AE34=0,AC34-1,AC34),AC34)</f>
        <v>0</v>
      </c>
      <c r="AG34" s="158" t="str">
        <f t="shared" ref="AG34" si="177">IF(AE34="00",IF(AD34=0,59,AD34-1),AD34)</f>
        <v>0</v>
      </c>
      <c r="AH34" s="159">
        <f t="shared" ref="AH34" si="178">IF(AE34="00",99,AE34-1)</f>
        <v>-1</v>
      </c>
      <c r="AI34" s="156" t="str">
        <f t="shared" ref="AI34" si="179">IF(AF34&lt;10,CONCATENATE("0",AF34),AF34)</f>
        <v>0</v>
      </c>
      <c r="AJ34" s="160" t="str">
        <f t="shared" ref="AJ34" si="180">IF(AG34&lt;10,CONCATENATE("0",AG34),AG34)</f>
        <v>0</v>
      </c>
      <c r="AK34" s="156" t="str">
        <f t="shared" ref="AK34" si="181">IF(AH34&lt;10,CONCATENATE("0",AH34),AH34)</f>
        <v>0-1</v>
      </c>
      <c r="AL34" s="161" t="str">
        <f t="shared" ref="AL34" si="182">CONCATENATE(AI34,":",AJ34,",",AK34)</f>
        <v>0:0,0-1</v>
      </c>
      <c r="AM34" s="156" t="e">
        <f t="shared" si="12"/>
        <v>#VALUE!</v>
      </c>
    </row>
    <row r="35" spans="2:39" x14ac:dyDescent="0.25">
      <c r="T35" s="138">
        <v>11</v>
      </c>
      <c r="U35" s="138">
        <v>10</v>
      </c>
      <c r="V35" s="138">
        <v>9</v>
      </c>
      <c r="W35" s="138">
        <v>8</v>
      </c>
      <c r="X35" s="138">
        <v>7</v>
      </c>
      <c r="Y35" s="138">
        <v>6</v>
      </c>
      <c r="Z35" s="138">
        <v>5</v>
      </c>
      <c r="AA35" s="162"/>
      <c r="AB35" s="163"/>
      <c r="AC35" s="164"/>
      <c r="AD35" s="165"/>
      <c r="AE35" s="166"/>
      <c r="AF35" s="164"/>
      <c r="AG35" s="165"/>
      <c r="AH35" s="166"/>
      <c r="AI35" s="163"/>
      <c r="AJ35" s="162"/>
      <c r="AK35" s="163"/>
      <c r="AL35" s="167"/>
      <c r="AM35" s="163"/>
    </row>
    <row r="36" spans="2:39" ht="22.8" x14ac:dyDescent="0.25">
      <c r="B36" s="135"/>
      <c r="C36" s="136"/>
      <c r="D36" s="136"/>
      <c r="E36" s="136"/>
      <c r="F36" s="136"/>
      <c r="G36" s="145"/>
      <c r="H36" s="148" t="str">
        <f>IF(C36="","",HLOOKUP(CONCATENATE("M",C36),'KAVVV Records &amp; age-grading'!$C$1:$Q$1,1,TRUE))</f>
        <v/>
      </c>
      <c r="I36" s="149" t="str">
        <f>IF(H36="","",HLOOKUP(H36,'KAVVV Records &amp; age-grading'!$C$1:$P$29,AA36+2,TRUE))</f>
        <v/>
      </c>
      <c r="J36" s="150" t="str">
        <f t="shared" ref="J36" si="183">IF(AC36+AD36+AE36=0,"",CONCATENATE(AC36,":",AD36,",",AE36))</f>
        <v/>
      </c>
      <c r="K36" s="144"/>
      <c r="L36" s="151" t="str">
        <f t="shared" ref="L36" si="184">IF(D36+E36+F36=0,"",HLOOKUP(AM36,U36:Z37,2,TRUE))</f>
        <v/>
      </c>
      <c r="M36" s="152"/>
      <c r="N36" s="153" t="str">
        <f t="shared" ref="N36" si="185">IF($I36="","",N$4*$I36)</f>
        <v/>
      </c>
      <c r="O36" s="153" t="str">
        <f t="shared" si="52"/>
        <v/>
      </c>
      <c r="P36" s="153" t="str">
        <f t="shared" si="52"/>
        <v/>
      </c>
      <c r="Q36" s="153" t="str">
        <f t="shared" si="52"/>
        <v/>
      </c>
      <c r="R36" s="153" t="str">
        <f t="shared" si="52"/>
        <v/>
      </c>
      <c r="S36" s="153" t="str">
        <f t="shared" si="52"/>
        <v/>
      </c>
      <c r="T36" s="154">
        <v>0</v>
      </c>
      <c r="U36" s="155" t="str">
        <f t="shared" ref="U36" si="186">N36</f>
        <v/>
      </c>
      <c r="V36" s="155" t="str">
        <f t="shared" ref="V36" si="187">O36</f>
        <v/>
      </c>
      <c r="W36" s="155" t="str">
        <f t="shared" ref="W36" si="188">P36</f>
        <v/>
      </c>
      <c r="X36" s="155" t="str">
        <f t="shared" ref="X36" si="189">Q36</f>
        <v/>
      </c>
      <c r="Y36" s="155" t="str">
        <f t="shared" ref="Y36" si="190">R36</f>
        <v/>
      </c>
      <c r="Z36" s="155" t="str">
        <f t="shared" ref="Z36" si="191">S36</f>
        <v/>
      </c>
      <c r="AA36" s="156" t="e">
        <f>VLOOKUP(B36,'KAVVV Records &amp; age-grading'!$A$3:$B$28,2,FALSE)</f>
        <v>#N/A</v>
      </c>
      <c r="AB36" s="156"/>
      <c r="AC36" s="157" t="str">
        <f t="shared" ref="AC36" si="192">IF(B36&lt;10,CONCATENATE("0",D36),D36)</f>
        <v>0</v>
      </c>
      <c r="AD36" s="158" t="str">
        <f t="shared" ref="AD36" si="193">IF(E36&lt;10,CONCATENATE("0",E36),E36)</f>
        <v>0</v>
      </c>
      <c r="AE36" s="159" t="str">
        <f t="shared" ref="AE36" si="194">IF(F36&lt;10,CONCATENATE("0",F36),F36)</f>
        <v>0</v>
      </c>
      <c r="AF36" s="157" t="str">
        <f t="shared" ref="AF36" si="195">IF(AD36=0,IF(AE36=0,AC36-1,AC36),AC36)</f>
        <v>0</v>
      </c>
      <c r="AG36" s="158" t="str">
        <f t="shared" ref="AG36" si="196">IF(AE36="00",IF(AD36=0,59,AD36-1),AD36)</f>
        <v>0</v>
      </c>
      <c r="AH36" s="159">
        <f t="shared" ref="AH36" si="197">IF(AE36="00",99,AE36-1)</f>
        <v>-1</v>
      </c>
      <c r="AI36" s="156" t="str">
        <f t="shared" ref="AI36" si="198">IF(AF36&lt;10,CONCATENATE("0",AF36),AF36)</f>
        <v>0</v>
      </c>
      <c r="AJ36" s="160" t="str">
        <f t="shared" ref="AJ36" si="199">IF(AG36&lt;10,CONCATENATE("0",AG36),AG36)</f>
        <v>0</v>
      </c>
      <c r="AK36" s="156" t="str">
        <f t="shared" ref="AK36" si="200">IF(AH36&lt;10,CONCATENATE("0",AH36),AH36)</f>
        <v>0-1</v>
      </c>
      <c r="AL36" s="161" t="str">
        <f t="shared" ref="AL36" si="201">CONCATENATE(AI36,":",AJ36,",",AK36)</f>
        <v>0:0,0-1</v>
      </c>
      <c r="AM36" s="156" t="e">
        <f t="shared" si="12"/>
        <v>#VALUE!</v>
      </c>
    </row>
    <row r="37" spans="2:39" x14ac:dyDescent="0.25">
      <c r="T37" s="138">
        <v>11</v>
      </c>
      <c r="U37" s="138">
        <v>10</v>
      </c>
      <c r="V37" s="138">
        <v>9</v>
      </c>
      <c r="W37" s="138">
        <v>8</v>
      </c>
      <c r="X37" s="138">
        <v>7</v>
      </c>
      <c r="Y37" s="138">
        <v>6</v>
      </c>
      <c r="Z37" s="138">
        <v>5</v>
      </c>
      <c r="AA37" s="162"/>
      <c r="AB37" s="163"/>
      <c r="AC37" s="164"/>
      <c r="AD37" s="165"/>
      <c r="AE37" s="166"/>
      <c r="AF37" s="164"/>
      <c r="AG37" s="165"/>
      <c r="AH37" s="166"/>
      <c r="AI37" s="163"/>
      <c r="AJ37" s="162"/>
      <c r="AK37" s="163"/>
      <c r="AL37" s="167"/>
      <c r="AM37" s="163"/>
    </row>
    <row r="38" spans="2:39" ht="22.8" x14ac:dyDescent="0.25">
      <c r="B38" s="135"/>
      <c r="C38" s="136"/>
      <c r="D38" s="136"/>
      <c r="E38" s="136"/>
      <c r="F38" s="136"/>
      <c r="G38" s="145"/>
      <c r="H38" s="148" t="str">
        <f>IF(C38="","",HLOOKUP(CONCATENATE("M",C38),'KAVVV Records &amp; age-grading'!$C$1:$Q$1,1,TRUE))</f>
        <v/>
      </c>
      <c r="I38" s="149" t="str">
        <f>IF(H38="","",HLOOKUP(H38,'KAVVV Records &amp; age-grading'!$C$1:$P$29,AA38+2,TRUE))</f>
        <v/>
      </c>
      <c r="J38" s="150" t="str">
        <f t="shared" ref="J38" si="202">IF(AC38+AD38+AE38=0,"",CONCATENATE(AC38,":",AD38,",",AE38))</f>
        <v/>
      </c>
      <c r="K38" s="144"/>
      <c r="L38" s="151" t="str">
        <f t="shared" ref="L38" si="203">IF(D38+E38+F38=0,"",HLOOKUP(AM38,U38:Z39,2,TRUE))</f>
        <v/>
      </c>
      <c r="M38" s="152"/>
      <c r="N38" s="153" t="str">
        <f t="shared" ref="N38" si="204">IF($I38="","",N$4*$I38)</f>
        <v/>
      </c>
      <c r="O38" s="153" t="str">
        <f t="shared" si="52"/>
        <v/>
      </c>
      <c r="P38" s="153" t="str">
        <f t="shared" si="52"/>
        <v/>
      </c>
      <c r="Q38" s="153" t="str">
        <f t="shared" si="52"/>
        <v/>
      </c>
      <c r="R38" s="153" t="str">
        <f t="shared" si="52"/>
        <v/>
      </c>
      <c r="S38" s="153" t="str">
        <f t="shared" si="52"/>
        <v/>
      </c>
      <c r="T38" s="154">
        <v>0</v>
      </c>
      <c r="U38" s="155" t="str">
        <f t="shared" ref="U38" si="205">N38</f>
        <v/>
      </c>
      <c r="V38" s="155" t="str">
        <f t="shared" ref="V38" si="206">O38</f>
        <v/>
      </c>
      <c r="W38" s="155" t="str">
        <f t="shared" ref="W38" si="207">P38</f>
        <v/>
      </c>
      <c r="X38" s="155" t="str">
        <f t="shared" ref="X38" si="208">Q38</f>
        <v/>
      </c>
      <c r="Y38" s="155" t="str">
        <f t="shared" ref="Y38" si="209">R38</f>
        <v/>
      </c>
      <c r="Z38" s="155" t="str">
        <f t="shared" ref="Z38" si="210">S38</f>
        <v/>
      </c>
      <c r="AA38" s="156" t="e">
        <f>VLOOKUP(B38,'KAVVV Records &amp; age-grading'!$A$3:$B$28,2,FALSE)</f>
        <v>#N/A</v>
      </c>
      <c r="AB38" s="156"/>
      <c r="AC38" s="157" t="str">
        <f t="shared" ref="AC38" si="211">IF(B38&lt;10,CONCATENATE("0",D38),D38)</f>
        <v>0</v>
      </c>
      <c r="AD38" s="158" t="str">
        <f t="shared" ref="AD38" si="212">IF(E38&lt;10,CONCATENATE("0",E38),E38)</f>
        <v>0</v>
      </c>
      <c r="AE38" s="159" t="str">
        <f t="shared" ref="AE38" si="213">IF(F38&lt;10,CONCATENATE("0",F38),F38)</f>
        <v>0</v>
      </c>
      <c r="AF38" s="157" t="str">
        <f t="shared" ref="AF38" si="214">IF(AD38=0,IF(AE38=0,AC38-1,AC38),AC38)</f>
        <v>0</v>
      </c>
      <c r="AG38" s="158" t="str">
        <f t="shared" ref="AG38" si="215">IF(AE38="00",IF(AD38=0,59,AD38-1),AD38)</f>
        <v>0</v>
      </c>
      <c r="AH38" s="159">
        <f t="shared" ref="AH38" si="216">IF(AE38="00",99,AE38-1)</f>
        <v>-1</v>
      </c>
      <c r="AI38" s="156" t="str">
        <f t="shared" ref="AI38" si="217">IF(AF38&lt;10,CONCATENATE("0",AF38),AF38)</f>
        <v>0</v>
      </c>
      <c r="AJ38" s="160" t="str">
        <f t="shared" ref="AJ38" si="218">IF(AG38&lt;10,CONCATENATE("0",AG38),AG38)</f>
        <v>0</v>
      </c>
      <c r="AK38" s="156" t="str">
        <f t="shared" ref="AK38" si="219">IF(AH38&lt;10,CONCATENATE("0",AH38),AH38)</f>
        <v>0-1</v>
      </c>
      <c r="AL38" s="161" t="str">
        <f t="shared" ref="AL38" si="220">CONCATENATE(AI38,":",AJ38,",",AK38)</f>
        <v>0:0,0-1</v>
      </c>
      <c r="AM38" s="156" t="e">
        <f t="shared" si="12"/>
        <v>#VALUE!</v>
      </c>
    </row>
    <row r="39" spans="2:39" x14ac:dyDescent="0.25">
      <c r="T39" s="138">
        <v>11</v>
      </c>
      <c r="U39" s="138">
        <v>10</v>
      </c>
      <c r="V39" s="138">
        <v>9</v>
      </c>
      <c r="W39" s="138">
        <v>8</v>
      </c>
      <c r="X39" s="138">
        <v>7</v>
      </c>
      <c r="Y39" s="138">
        <v>6</v>
      </c>
      <c r="Z39" s="138">
        <v>5</v>
      </c>
      <c r="AA39" s="162"/>
      <c r="AB39" s="163"/>
      <c r="AC39" s="164"/>
      <c r="AD39" s="165"/>
      <c r="AE39" s="166"/>
      <c r="AF39" s="164"/>
      <c r="AG39" s="165"/>
      <c r="AH39" s="166"/>
      <c r="AI39" s="163"/>
      <c r="AJ39" s="162"/>
      <c r="AK39" s="163"/>
      <c r="AL39" s="167"/>
      <c r="AM39" s="163"/>
    </row>
    <row r="40" spans="2:39" ht="22.8" x14ac:dyDescent="0.25">
      <c r="B40" s="135"/>
      <c r="C40" s="136"/>
      <c r="D40" s="136"/>
      <c r="E40" s="136"/>
      <c r="F40" s="136"/>
      <c r="G40" s="145"/>
      <c r="H40" s="148" t="str">
        <f>IF(C40="","",HLOOKUP(CONCATENATE("M",C40),'KAVVV Records &amp; age-grading'!$C$1:$Q$1,1,TRUE))</f>
        <v/>
      </c>
      <c r="I40" s="149" t="str">
        <f>IF(H40="","",HLOOKUP(H40,'KAVVV Records &amp; age-grading'!$C$1:$P$29,AA40+2,TRUE))</f>
        <v/>
      </c>
      <c r="J40" s="150" t="str">
        <f t="shared" ref="J40" si="221">IF(AC40+AD40+AE40=0,"",CONCATENATE(AC40,":",AD40,",",AE40))</f>
        <v/>
      </c>
      <c r="K40" s="144"/>
      <c r="L40" s="151" t="str">
        <f t="shared" ref="L40" si="222">IF(D40+E40+F40=0,"",HLOOKUP(AM40,U40:Z41,2,TRUE))</f>
        <v/>
      </c>
      <c r="M40" s="152"/>
      <c r="N40" s="153" t="str">
        <f t="shared" ref="N40" si="223">IF($I40="","",N$4*$I40)</f>
        <v/>
      </c>
      <c r="O40" s="153" t="str">
        <f t="shared" si="52"/>
        <v/>
      </c>
      <c r="P40" s="153" t="str">
        <f t="shared" si="52"/>
        <v/>
      </c>
      <c r="Q40" s="153" t="str">
        <f t="shared" si="52"/>
        <v/>
      </c>
      <c r="R40" s="153" t="str">
        <f t="shared" si="52"/>
        <v/>
      </c>
      <c r="S40" s="153" t="str">
        <f t="shared" si="52"/>
        <v/>
      </c>
      <c r="T40" s="154">
        <v>0</v>
      </c>
      <c r="U40" s="155" t="str">
        <f t="shared" ref="U40" si="224">N40</f>
        <v/>
      </c>
      <c r="V40" s="155" t="str">
        <f t="shared" ref="V40" si="225">O40</f>
        <v/>
      </c>
      <c r="W40" s="155" t="str">
        <f t="shared" ref="W40" si="226">P40</f>
        <v/>
      </c>
      <c r="X40" s="155" t="str">
        <f t="shared" ref="X40" si="227">Q40</f>
        <v/>
      </c>
      <c r="Y40" s="155" t="str">
        <f t="shared" ref="Y40" si="228">R40</f>
        <v/>
      </c>
      <c r="Z40" s="155" t="str">
        <f t="shared" ref="Z40" si="229">S40</f>
        <v/>
      </c>
      <c r="AA40" s="156" t="e">
        <f>VLOOKUP(B40,'KAVVV Records &amp; age-grading'!$A$3:$B$28,2,FALSE)</f>
        <v>#N/A</v>
      </c>
      <c r="AB40" s="156"/>
      <c r="AC40" s="157" t="str">
        <f t="shared" ref="AC40" si="230">IF(B40&lt;10,CONCATENATE("0",D40),D40)</f>
        <v>0</v>
      </c>
      <c r="AD40" s="158" t="str">
        <f t="shared" ref="AD40" si="231">IF(E40&lt;10,CONCATENATE("0",E40),E40)</f>
        <v>0</v>
      </c>
      <c r="AE40" s="159" t="str">
        <f t="shared" ref="AE40" si="232">IF(F40&lt;10,CONCATENATE("0",F40),F40)</f>
        <v>0</v>
      </c>
      <c r="AF40" s="157" t="str">
        <f t="shared" ref="AF40" si="233">IF(AD40=0,IF(AE40=0,AC40-1,AC40),AC40)</f>
        <v>0</v>
      </c>
      <c r="AG40" s="158" t="str">
        <f t="shared" ref="AG40" si="234">IF(AE40="00",IF(AD40=0,59,AD40-1),AD40)</f>
        <v>0</v>
      </c>
      <c r="AH40" s="159">
        <f t="shared" ref="AH40" si="235">IF(AE40="00",99,AE40-1)</f>
        <v>-1</v>
      </c>
      <c r="AI40" s="156" t="str">
        <f t="shared" ref="AI40" si="236">IF(AF40&lt;10,CONCATENATE("0",AF40),AF40)</f>
        <v>0</v>
      </c>
      <c r="AJ40" s="160" t="str">
        <f t="shared" ref="AJ40" si="237">IF(AG40&lt;10,CONCATENATE("0",AG40),AG40)</f>
        <v>0</v>
      </c>
      <c r="AK40" s="156" t="str">
        <f t="shared" ref="AK40" si="238">IF(AH40&lt;10,CONCATENATE("0",AH40),AH40)</f>
        <v>0-1</v>
      </c>
      <c r="AL40" s="161" t="str">
        <f t="shared" ref="AL40" si="239">CONCATENATE(AI40,":",AJ40,",",AK40)</f>
        <v>0:0,0-1</v>
      </c>
      <c r="AM40" s="156" t="e">
        <f t="shared" si="12"/>
        <v>#VALUE!</v>
      </c>
    </row>
    <row r="41" spans="2:39" x14ac:dyDescent="0.25">
      <c r="T41" s="138">
        <v>11</v>
      </c>
      <c r="U41" s="138">
        <v>10</v>
      </c>
      <c r="V41" s="138">
        <v>9</v>
      </c>
      <c r="W41" s="138">
        <v>8</v>
      </c>
      <c r="X41" s="138">
        <v>7</v>
      </c>
      <c r="Y41" s="138">
        <v>6</v>
      </c>
      <c r="Z41" s="138">
        <v>5</v>
      </c>
      <c r="AA41" s="162"/>
      <c r="AB41" s="163"/>
      <c r="AC41" s="164"/>
      <c r="AD41" s="165"/>
      <c r="AE41" s="166"/>
      <c r="AF41" s="164"/>
      <c r="AG41" s="165"/>
      <c r="AH41" s="166"/>
      <c r="AI41" s="163"/>
      <c r="AJ41" s="162"/>
      <c r="AK41" s="163"/>
      <c r="AL41" s="167"/>
      <c r="AM41" s="163"/>
    </row>
    <row r="42" spans="2:39" ht="22.8" x14ac:dyDescent="0.25">
      <c r="B42" s="135"/>
      <c r="C42" s="136"/>
      <c r="D42" s="136"/>
      <c r="E42" s="136"/>
      <c r="F42" s="136"/>
      <c r="G42" s="145"/>
      <c r="H42" s="148" t="str">
        <f>IF(C42="","",HLOOKUP(CONCATENATE("M",C42),'KAVVV Records &amp; age-grading'!$C$1:$Q$1,1,TRUE))</f>
        <v/>
      </c>
      <c r="I42" s="149" t="str">
        <f>IF(H42="","",HLOOKUP(H42,'KAVVV Records &amp; age-grading'!$C$1:$P$29,AA42+2,TRUE))</f>
        <v/>
      </c>
      <c r="J42" s="150" t="str">
        <f t="shared" ref="J42" si="240">IF(AC42+AD42+AE42=0,"",CONCATENATE(AC42,":",AD42,",",AE42))</f>
        <v/>
      </c>
      <c r="K42" s="144"/>
      <c r="L42" s="151" t="str">
        <f t="shared" ref="L42" si="241">IF(D42+E42+F42=0,"",HLOOKUP(AM42,U42:Z43,2,TRUE))</f>
        <v/>
      </c>
      <c r="M42" s="152"/>
      <c r="N42" s="153" t="str">
        <f t="shared" ref="N42" si="242">IF($I42="","",N$4*$I42)</f>
        <v/>
      </c>
      <c r="O42" s="153" t="str">
        <f t="shared" si="52"/>
        <v/>
      </c>
      <c r="P42" s="153" t="str">
        <f t="shared" si="52"/>
        <v/>
      </c>
      <c r="Q42" s="153" t="str">
        <f t="shared" si="52"/>
        <v/>
      </c>
      <c r="R42" s="153" t="str">
        <f t="shared" si="52"/>
        <v/>
      </c>
      <c r="S42" s="153" t="str">
        <f t="shared" si="52"/>
        <v/>
      </c>
      <c r="T42" s="154">
        <v>0</v>
      </c>
      <c r="U42" s="155" t="str">
        <f t="shared" ref="U42" si="243">N42</f>
        <v/>
      </c>
      <c r="V42" s="155" t="str">
        <f t="shared" ref="V42" si="244">O42</f>
        <v/>
      </c>
      <c r="W42" s="155" t="str">
        <f t="shared" ref="W42" si="245">P42</f>
        <v/>
      </c>
      <c r="X42" s="155" t="str">
        <f t="shared" ref="X42" si="246">Q42</f>
        <v/>
      </c>
      <c r="Y42" s="155" t="str">
        <f t="shared" ref="Y42" si="247">R42</f>
        <v/>
      </c>
      <c r="Z42" s="155" t="str">
        <f t="shared" ref="Z42" si="248">S42</f>
        <v/>
      </c>
      <c r="AA42" s="156" t="e">
        <f>VLOOKUP(B42,'KAVVV Records &amp; age-grading'!$A$3:$B$28,2,FALSE)</f>
        <v>#N/A</v>
      </c>
      <c r="AB42" s="156"/>
      <c r="AC42" s="157" t="str">
        <f t="shared" ref="AC42" si="249">IF(B42&lt;10,CONCATENATE("0",D42),D42)</f>
        <v>0</v>
      </c>
      <c r="AD42" s="158" t="str">
        <f t="shared" ref="AD42" si="250">IF(E42&lt;10,CONCATENATE("0",E42),E42)</f>
        <v>0</v>
      </c>
      <c r="AE42" s="159" t="str">
        <f t="shared" ref="AE42" si="251">IF(F42&lt;10,CONCATENATE("0",F42),F42)</f>
        <v>0</v>
      </c>
      <c r="AF42" s="157" t="str">
        <f t="shared" ref="AF42" si="252">IF(AD42=0,IF(AE42=0,AC42-1,AC42),AC42)</f>
        <v>0</v>
      </c>
      <c r="AG42" s="158" t="str">
        <f t="shared" ref="AG42" si="253">IF(AE42="00",IF(AD42=0,59,AD42-1),AD42)</f>
        <v>0</v>
      </c>
      <c r="AH42" s="159">
        <f t="shared" ref="AH42" si="254">IF(AE42="00",99,AE42-1)</f>
        <v>-1</v>
      </c>
      <c r="AI42" s="156" t="str">
        <f t="shared" ref="AI42" si="255">IF(AF42&lt;10,CONCATENATE("0",AF42),AF42)</f>
        <v>0</v>
      </c>
      <c r="AJ42" s="160" t="str">
        <f t="shared" ref="AJ42" si="256">IF(AG42&lt;10,CONCATENATE("0",AG42),AG42)</f>
        <v>0</v>
      </c>
      <c r="AK42" s="156" t="str">
        <f t="shared" ref="AK42" si="257">IF(AH42&lt;10,CONCATENATE("0",AH42),AH42)</f>
        <v>0-1</v>
      </c>
      <c r="AL42" s="161" t="str">
        <f t="shared" ref="AL42" si="258">CONCATENATE(AI42,":",AJ42,",",AK42)</f>
        <v>0:0,0-1</v>
      </c>
      <c r="AM42" s="156" t="e">
        <f t="shared" si="12"/>
        <v>#VALUE!</v>
      </c>
    </row>
    <row r="43" spans="2:39" x14ac:dyDescent="0.25">
      <c r="T43" s="138">
        <v>11</v>
      </c>
      <c r="U43" s="138">
        <v>10</v>
      </c>
      <c r="V43" s="138">
        <v>9</v>
      </c>
      <c r="W43" s="138">
        <v>8</v>
      </c>
      <c r="X43" s="138">
        <v>7</v>
      </c>
      <c r="Y43" s="138">
        <v>6</v>
      </c>
      <c r="Z43" s="138">
        <v>5</v>
      </c>
      <c r="AA43" s="162"/>
      <c r="AB43" s="163"/>
      <c r="AC43" s="164"/>
      <c r="AD43" s="165"/>
      <c r="AE43" s="166"/>
      <c r="AF43" s="164"/>
      <c r="AG43" s="165"/>
      <c r="AH43" s="166"/>
      <c r="AI43" s="163"/>
      <c r="AJ43" s="162"/>
      <c r="AK43" s="163"/>
      <c r="AL43" s="167"/>
      <c r="AM43" s="163"/>
    </row>
    <row r="44" spans="2:39" ht="22.8" x14ac:dyDescent="0.25">
      <c r="B44" s="135"/>
      <c r="C44" s="136"/>
      <c r="D44" s="136"/>
      <c r="E44" s="136"/>
      <c r="F44" s="136"/>
      <c r="G44" s="145"/>
      <c r="H44" s="148" t="str">
        <f>IF(C44="","",HLOOKUP(CONCATENATE("M",C44),'KAVVV Records &amp; age-grading'!$C$1:$Q$1,1,TRUE))</f>
        <v/>
      </c>
      <c r="I44" s="149" t="str">
        <f>IF(H44="","",HLOOKUP(H44,'KAVVV Records &amp; age-grading'!$C$1:$P$29,AA44+2,TRUE))</f>
        <v/>
      </c>
      <c r="J44" s="150" t="str">
        <f t="shared" ref="J44" si="259">IF(AC44+AD44+AE44=0,"",CONCATENATE(AC44,":",AD44,",",AE44))</f>
        <v/>
      </c>
      <c r="K44" s="144"/>
      <c r="L44" s="151" t="str">
        <f t="shared" ref="L44" si="260">IF(D44+E44+F44=0,"",HLOOKUP(AM44,U44:Z45,2,TRUE))</f>
        <v/>
      </c>
      <c r="M44" s="152"/>
      <c r="N44" s="153" t="str">
        <f t="shared" ref="N44" si="261">IF($I44="","",N$4*$I44)</f>
        <v/>
      </c>
      <c r="O44" s="153" t="str">
        <f t="shared" si="52"/>
        <v/>
      </c>
      <c r="P44" s="153" t="str">
        <f t="shared" si="52"/>
        <v/>
      </c>
      <c r="Q44" s="153" t="str">
        <f t="shared" si="52"/>
        <v/>
      </c>
      <c r="R44" s="153" t="str">
        <f t="shared" si="52"/>
        <v/>
      </c>
      <c r="S44" s="153" t="str">
        <f t="shared" si="52"/>
        <v/>
      </c>
      <c r="T44" s="154">
        <v>0</v>
      </c>
      <c r="U44" s="155" t="str">
        <f t="shared" ref="U44" si="262">N44</f>
        <v/>
      </c>
      <c r="V44" s="155" t="str">
        <f t="shared" ref="V44" si="263">O44</f>
        <v/>
      </c>
      <c r="W44" s="155" t="str">
        <f t="shared" ref="W44" si="264">P44</f>
        <v/>
      </c>
      <c r="X44" s="155" t="str">
        <f t="shared" ref="X44" si="265">Q44</f>
        <v/>
      </c>
      <c r="Y44" s="155" t="str">
        <f t="shared" ref="Y44" si="266">R44</f>
        <v/>
      </c>
      <c r="Z44" s="155" t="str">
        <f t="shared" ref="Z44" si="267">S44</f>
        <v/>
      </c>
      <c r="AA44" s="156" t="e">
        <f>VLOOKUP(B44,'KAVVV Records &amp; age-grading'!$A$3:$B$28,2,FALSE)</f>
        <v>#N/A</v>
      </c>
      <c r="AB44" s="156"/>
      <c r="AC44" s="157" t="str">
        <f t="shared" ref="AC44" si="268">IF(B44&lt;10,CONCATENATE("0",D44),D44)</f>
        <v>0</v>
      </c>
      <c r="AD44" s="158" t="str">
        <f t="shared" ref="AD44" si="269">IF(E44&lt;10,CONCATENATE("0",E44),E44)</f>
        <v>0</v>
      </c>
      <c r="AE44" s="159" t="str">
        <f t="shared" ref="AE44" si="270">IF(F44&lt;10,CONCATENATE("0",F44),F44)</f>
        <v>0</v>
      </c>
      <c r="AF44" s="157" t="str">
        <f t="shared" ref="AF44" si="271">IF(AD44=0,IF(AE44=0,AC44-1,AC44),AC44)</f>
        <v>0</v>
      </c>
      <c r="AG44" s="158" t="str">
        <f t="shared" ref="AG44" si="272">IF(AE44="00",IF(AD44=0,59,AD44-1),AD44)</f>
        <v>0</v>
      </c>
      <c r="AH44" s="159">
        <f t="shared" ref="AH44" si="273">IF(AE44="00",99,AE44-1)</f>
        <v>-1</v>
      </c>
      <c r="AI44" s="156" t="str">
        <f t="shared" ref="AI44" si="274">IF(AF44&lt;10,CONCATENATE("0",AF44),AF44)</f>
        <v>0</v>
      </c>
      <c r="AJ44" s="160" t="str">
        <f t="shared" ref="AJ44" si="275">IF(AG44&lt;10,CONCATENATE("0",AG44),AG44)</f>
        <v>0</v>
      </c>
      <c r="AK44" s="156" t="str">
        <f t="shared" ref="AK44" si="276">IF(AH44&lt;10,CONCATENATE("0",AH44),AH44)</f>
        <v>0-1</v>
      </c>
      <c r="AL44" s="161" t="str">
        <f t="shared" ref="AL44" si="277">CONCATENATE(AI44,":",AJ44,",",AK44)</f>
        <v>0:0,0-1</v>
      </c>
      <c r="AM44" s="156" t="e">
        <f t="shared" si="12"/>
        <v>#VALUE!</v>
      </c>
    </row>
    <row r="45" spans="2:39" x14ac:dyDescent="0.25">
      <c r="T45" s="138">
        <v>11</v>
      </c>
      <c r="U45" s="138">
        <v>10</v>
      </c>
      <c r="V45" s="138">
        <v>9</v>
      </c>
      <c r="W45" s="138">
        <v>8</v>
      </c>
      <c r="X45" s="138">
        <v>7</v>
      </c>
      <c r="Y45" s="138">
        <v>6</v>
      </c>
      <c r="Z45" s="138">
        <v>5</v>
      </c>
      <c r="AA45" s="162"/>
      <c r="AB45" s="163"/>
      <c r="AC45" s="164"/>
      <c r="AD45" s="165"/>
      <c r="AE45" s="166"/>
      <c r="AF45" s="164"/>
      <c r="AG45" s="165"/>
      <c r="AH45" s="166"/>
      <c r="AI45" s="163"/>
      <c r="AJ45" s="162"/>
      <c r="AK45" s="163"/>
      <c r="AL45" s="167"/>
      <c r="AM45" s="163"/>
    </row>
    <row r="46" spans="2:39" ht="22.8" x14ac:dyDescent="0.25">
      <c r="B46" s="135"/>
      <c r="C46" s="136"/>
      <c r="D46" s="136"/>
      <c r="E46" s="136"/>
      <c r="F46" s="136"/>
      <c r="G46" s="145"/>
      <c r="H46" s="148" t="str">
        <f>IF(C46="","",HLOOKUP(CONCATENATE("M",C46),'KAVVV Records &amp; age-grading'!$C$1:$Q$1,1,TRUE))</f>
        <v/>
      </c>
      <c r="I46" s="149" t="str">
        <f>IF(H46="","",HLOOKUP(H46,'KAVVV Records &amp; age-grading'!$C$1:$P$29,AA46+2,TRUE))</f>
        <v/>
      </c>
      <c r="J46" s="150" t="str">
        <f t="shared" ref="J46" si="278">IF(AC46+AD46+AE46=0,"",CONCATENATE(AC46,":",AD46,",",AE46))</f>
        <v/>
      </c>
      <c r="K46" s="144"/>
      <c r="L46" s="151" t="str">
        <f t="shared" ref="L46" si="279">IF(D46+E46+F46=0,"",HLOOKUP(AM46,U46:Z47,2,TRUE))</f>
        <v/>
      </c>
      <c r="M46" s="152"/>
      <c r="N46" s="153" t="str">
        <f t="shared" ref="N46" si="280">IF($I46="","",N$4*$I46)</f>
        <v/>
      </c>
      <c r="O46" s="153" t="str">
        <f t="shared" si="52"/>
        <v/>
      </c>
      <c r="P46" s="153" t="str">
        <f t="shared" si="52"/>
        <v/>
      </c>
      <c r="Q46" s="153" t="str">
        <f t="shared" si="52"/>
        <v/>
      </c>
      <c r="R46" s="153" t="str">
        <f t="shared" si="52"/>
        <v/>
      </c>
      <c r="S46" s="153" t="str">
        <f t="shared" si="52"/>
        <v/>
      </c>
      <c r="T46" s="154">
        <v>0</v>
      </c>
      <c r="U46" s="155" t="str">
        <f t="shared" ref="U46" si="281">N46</f>
        <v/>
      </c>
      <c r="V46" s="155" t="str">
        <f t="shared" ref="V46" si="282">O46</f>
        <v/>
      </c>
      <c r="W46" s="155" t="str">
        <f t="shared" ref="W46" si="283">P46</f>
        <v/>
      </c>
      <c r="X46" s="155" t="str">
        <f t="shared" ref="X46" si="284">Q46</f>
        <v/>
      </c>
      <c r="Y46" s="155" t="str">
        <f t="shared" ref="Y46" si="285">R46</f>
        <v/>
      </c>
      <c r="Z46" s="155" t="str">
        <f t="shared" ref="Z46" si="286">S46</f>
        <v/>
      </c>
      <c r="AA46" s="156" t="e">
        <f>VLOOKUP(B46,'KAVVV Records &amp; age-grading'!$A$3:$B$28,2,FALSE)</f>
        <v>#N/A</v>
      </c>
      <c r="AB46" s="156"/>
      <c r="AC46" s="157" t="str">
        <f t="shared" ref="AC46" si="287">IF(B46&lt;10,CONCATENATE("0",D46),D46)</f>
        <v>0</v>
      </c>
      <c r="AD46" s="158" t="str">
        <f t="shared" ref="AD46" si="288">IF(E46&lt;10,CONCATENATE("0",E46),E46)</f>
        <v>0</v>
      </c>
      <c r="AE46" s="159" t="str">
        <f t="shared" ref="AE46" si="289">IF(F46&lt;10,CONCATENATE("0",F46),F46)</f>
        <v>0</v>
      </c>
      <c r="AF46" s="157" t="str">
        <f t="shared" ref="AF46" si="290">IF(AD46=0,IF(AE46=0,AC46-1,AC46),AC46)</f>
        <v>0</v>
      </c>
      <c r="AG46" s="158" t="str">
        <f t="shared" ref="AG46" si="291">IF(AE46="00",IF(AD46=0,59,AD46-1),AD46)</f>
        <v>0</v>
      </c>
      <c r="AH46" s="159">
        <f t="shared" ref="AH46" si="292">IF(AE46="00",99,AE46-1)</f>
        <v>-1</v>
      </c>
      <c r="AI46" s="156" t="str">
        <f t="shared" ref="AI46" si="293">IF(AF46&lt;10,CONCATENATE("0",AF46),AF46)</f>
        <v>0</v>
      </c>
      <c r="AJ46" s="160" t="str">
        <f t="shared" ref="AJ46" si="294">IF(AG46&lt;10,CONCATENATE("0",AG46),AG46)</f>
        <v>0</v>
      </c>
      <c r="AK46" s="156" t="str">
        <f t="shared" ref="AK46" si="295">IF(AH46&lt;10,CONCATENATE("0",AH46),AH46)</f>
        <v>0-1</v>
      </c>
      <c r="AL46" s="161" t="str">
        <f t="shared" ref="AL46" si="296">CONCATENATE(AI46,":",AJ46,",",AK46)</f>
        <v>0:0,0-1</v>
      </c>
      <c r="AM46" s="156" t="e">
        <f t="shared" si="12"/>
        <v>#VALUE!</v>
      </c>
    </row>
    <row r="47" spans="2:39" x14ac:dyDescent="0.25">
      <c r="T47" s="138">
        <v>11</v>
      </c>
      <c r="U47" s="138">
        <v>10</v>
      </c>
      <c r="V47" s="138">
        <v>9</v>
      </c>
      <c r="W47" s="138">
        <v>8</v>
      </c>
      <c r="X47" s="138">
        <v>7</v>
      </c>
      <c r="Y47" s="138">
        <v>6</v>
      </c>
      <c r="Z47" s="138">
        <v>5</v>
      </c>
      <c r="AA47" s="162"/>
      <c r="AB47" s="163"/>
      <c r="AC47" s="164"/>
      <c r="AD47" s="165"/>
      <c r="AE47" s="166"/>
      <c r="AF47" s="164"/>
      <c r="AG47" s="165"/>
      <c r="AH47" s="166"/>
      <c r="AI47" s="163"/>
      <c r="AJ47" s="162"/>
      <c r="AK47" s="163"/>
      <c r="AL47" s="167"/>
      <c r="AM47" s="163"/>
    </row>
    <row r="48" spans="2:39" ht="22.8" x14ac:dyDescent="0.25">
      <c r="B48" s="135"/>
      <c r="C48" s="136"/>
      <c r="D48" s="136"/>
      <c r="E48" s="136"/>
      <c r="F48" s="136"/>
      <c r="G48" s="145"/>
      <c r="H48" s="148" t="str">
        <f>IF(C48="","",HLOOKUP(CONCATENATE("M",C48),'KAVVV Records &amp; age-grading'!$C$1:$Q$1,1,TRUE))</f>
        <v/>
      </c>
      <c r="I48" s="149" t="str">
        <f>IF(H48="","",HLOOKUP(H48,'KAVVV Records &amp; age-grading'!$C$1:$P$29,AA48+2,TRUE))</f>
        <v/>
      </c>
      <c r="J48" s="150" t="str">
        <f t="shared" ref="J48" si="297">IF(AC48+AD48+AE48=0,"",CONCATENATE(AC48,":",AD48,",",AE48))</f>
        <v/>
      </c>
      <c r="K48" s="144"/>
      <c r="L48" s="151" t="str">
        <f t="shared" ref="L48" si="298">IF(D48+E48+F48=0,"",HLOOKUP(AM48,U48:Z49,2,TRUE))</f>
        <v/>
      </c>
      <c r="M48" s="152"/>
      <c r="N48" s="153" t="str">
        <f t="shared" ref="N48" si="299">IF($I48="","",N$4*$I48)</f>
        <v/>
      </c>
      <c r="O48" s="153" t="str">
        <f t="shared" si="52"/>
        <v/>
      </c>
      <c r="P48" s="153" t="str">
        <f t="shared" si="52"/>
        <v/>
      </c>
      <c r="Q48" s="153" t="str">
        <f t="shared" si="52"/>
        <v/>
      </c>
      <c r="R48" s="153" t="str">
        <f t="shared" si="52"/>
        <v/>
      </c>
      <c r="S48" s="153" t="str">
        <f t="shared" si="52"/>
        <v/>
      </c>
      <c r="T48" s="154">
        <v>0</v>
      </c>
      <c r="U48" s="155" t="str">
        <f t="shared" ref="U48" si="300">N48</f>
        <v/>
      </c>
      <c r="V48" s="155" t="str">
        <f t="shared" ref="V48" si="301">O48</f>
        <v/>
      </c>
      <c r="W48" s="155" t="str">
        <f t="shared" ref="W48" si="302">P48</f>
        <v/>
      </c>
      <c r="X48" s="155" t="str">
        <f t="shared" ref="X48" si="303">Q48</f>
        <v/>
      </c>
      <c r="Y48" s="155" t="str">
        <f t="shared" ref="Y48" si="304">R48</f>
        <v/>
      </c>
      <c r="Z48" s="155" t="str">
        <f t="shared" ref="Z48" si="305">S48</f>
        <v/>
      </c>
      <c r="AA48" s="156" t="e">
        <f>VLOOKUP(B48,'KAVVV Records &amp; age-grading'!$A$3:$B$28,2,FALSE)</f>
        <v>#N/A</v>
      </c>
      <c r="AB48" s="156"/>
      <c r="AC48" s="157" t="str">
        <f t="shared" ref="AC48" si="306">IF(B48&lt;10,CONCATENATE("0",D48),D48)</f>
        <v>0</v>
      </c>
      <c r="AD48" s="158" t="str">
        <f t="shared" ref="AD48" si="307">IF(E48&lt;10,CONCATENATE("0",E48),E48)</f>
        <v>0</v>
      </c>
      <c r="AE48" s="159" t="str">
        <f t="shared" ref="AE48" si="308">IF(F48&lt;10,CONCATENATE("0",F48),F48)</f>
        <v>0</v>
      </c>
      <c r="AF48" s="157" t="str">
        <f t="shared" ref="AF48" si="309">IF(AD48=0,IF(AE48=0,AC48-1,AC48),AC48)</f>
        <v>0</v>
      </c>
      <c r="AG48" s="158" t="str">
        <f t="shared" ref="AG48" si="310">IF(AE48="00",IF(AD48=0,59,AD48-1),AD48)</f>
        <v>0</v>
      </c>
      <c r="AH48" s="159">
        <f t="shared" ref="AH48" si="311">IF(AE48="00",99,AE48-1)</f>
        <v>-1</v>
      </c>
      <c r="AI48" s="156" t="str">
        <f t="shared" ref="AI48" si="312">IF(AF48&lt;10,CONCATENATE("0",AF48),AF48)</f>
        <v>0</v>
      </c>
      <c r="AJ48" s="160" t="str">
        <f t="shared" ref="AJ48" si="313">IF(AG48&lt;10,CONCATENATE("0",AG48),AG48)</f>
        <v>0</v>
      </c>
      <c r="AK48" s="156" t="str">
        <f t="shared" ref="AK48" si="314">IF(AH48&lt;10,CONCATENATE("0",AH48),AH48)</f>
        <v>0-1</v>
      </c>
      <c r="AL48" s="161" t="str">
        <f t="shared" ref="AL48" si="315">CONCATENATE(AI48,":",AJ48,",",AK48)</f>
        <v>0:0,0-1</v>
      </c>
      <c r="AM48" s="156" t="e">
        <f t="shared" si="12"/>
        <v>#VALUE!</v>
      </c>
    </row>
    <row r="49" spans="2:39" x14ac:dyDescent="0.25">
      <c r="T49" s="138">
        <v>11</v>
      </c>
      <c r="U49" s="138">
        <v>10</v>
      </c>
      <c r="V49" s="138">
        <v>9</v>
      </c>
      <c r="W49" s="138">
        <v>8</v>
      </c>
      <c r="X49" s="138">
        <v>7</v>
      </c>
      <c r="Y49" s="138">
        <v>6</v>
      </c>
      <c r="Z49" s="138">
        <v>5</v>
      </c>
      <c r="AA49" s="162"/>
      <c r="AB49" s="163"/>
      <c r="AC49" s="164"/>
      <c r="AD49" s="165"/>
      <c r="AE49" s="166"/>
      <c r="AF49" s="164"/>
      <c r="AG49" s="165"/>
      <c r="AH49" s="166"/>
      <c r="AI49" s="163"/>
      <c r="AJ49" s="162"/>
      <c r="AK49" s="163"/>
      <c r="AL49" s="167"/>
      <c r="AM49" s="163"/>
    </row>
    <row r="50" spans="2:39" ht="22.8" x14ac:dyDescent="0.25">
      <c r="B50" s="135"/>
      <c r="C50" s="136"/>
      <c r="D50" s="136"/>
      <c r="E50" s="136"/>
      <c r="F50" s="136"/>
      <c r="G50" s="145"/>
      <c r="H50" s="148" t="str">
        <f>IF(C50="","",HLOOKUP(CONCATENATE("M",C50),'KAVVV Records &amp; age-grading'!$C$1:$Q$1,1,TRUE))</f>
        <v/>
      </c>
      <c r="I50" s="149" t="str">
        <f>IF(H50="","",HLOOKUP(H50,'KAVVV Records &amp; age-grading'!$C$1:$P$29,AA50+2,TRUE))</f>
        <v/>
      </c>
      <c r="J50" s="150" t="str">
        <f t="shared" ref="J50" si="316">IF(AC50+AD50+AE50=0,"",CONCATENATE(AC50,":",AD50,",",AE50))</f>
        <v/>
      </c>
      <c r="K50" s="144"/>
      <c r="L50" s="151" t="str">
        <f t="shared" ref="L50" si="317">IF(D50+E50+F50=0,"",HLOOKUP(AM50,U50:Z51,2,TRUE))</f>
        <v/>
      </c>
      <c r="M50" s="152"/>
      <c r="N50" s="153" t="str">
        <f t="shared" ref="N50" si="318">IF($I50="","",N$4*$I50)</f>
        <v/>
      </c>
      <c r="O50" s="153" t="str">
        <f t="shared" si="52"/>
        <v/>
      </c>
      <c r="P50" s="153" t="str">
        <f t="shared" si="52"/>
        <v/>
      </c>
      <c r="Q50" s="153" t="str">
        <f t="shared" si="52"/>
        <v/>
      </c>
      <c r="R50" s="153" t="str">
        <f t="shared" si="52"/>
        <v/>
      </c>
      <c r="S50" s="153" t="str">
        <f t="shared" si="52"/>
        <v/>
      </c>
      <c r="T50" s="154">
        <v>0</v>
      </c>
      <c r="U50" s="155" t="str">
        <f t="shared" ref="U50" si="319">N50</f>
        <v/>
      </c>
      <c r="V50" s="155" t="str">
        <f t="shared" ref="V50" si="320">O50</f>
        <v/>
      </c>
      <c r="W50" s="155" t="str">
        <f t="shared" ref="W50" si="321">P50</f>
        <v/>
      </c>
      <c r="X50" s="155" t="str">
        <f t="shared" ref="X50" si="322">Q50</f>
        <v/>
      </c>
      <c r="Y50" s="155" t="str">
        <f t="shared" ref="Y50" si="323">R50</f>
        <v/>
      </c>
      <c r="Z50" s="155" t="str">
        <f t="shared" ref="Z50" si="324">S50</f>
        <v/>
      </c>
      <c r="AA50" s="156" t="e">
        <f>VLOOKUP(B50,'KAVVV Records &amp; age-grading'!$A$3:$B$28,2,FALSE)</f>
        <v>#N/A</v>
      </c>
      <c r="AB50" s="156"/>
      <c r="AC50" s="157" t="str">
        <f t="shared" ref="AC50" si="325">IF(B50&lt;10,CONCATENATE("0",D50),D50)</f>
        <v>0</v>
      </c>
      <c r="AD50" s="158" t="str">
        <f t="shared" ref="AD50" si="326">IF(E50&lt;10,CONCATENATE("0",E50),E50)</f>
        <v>0</v>
      </c>
      <c r="AE50" s="159" t="str">
        <f t="shared" ref="AE50" si="327">IF(F50&lt;10,CONCATENATE("0",F50),F50)</f>
        <v>0</v>
      </c>
      <c r="AF50" s="157" t="str">
        <f t="shared" ref="AF50" si="328">IF(AD50=0,IF(AE50=0,AC50-1,AC50),AC50)</f>
        <v>0</v>
      </c>
      <c r="AG50" s="158" t="str">
        <f t="shared" ref="AG50" si="329">IF(AE50="00",IF(AD50=0,59,AD50-1),AD50)</f>
        <v>0</v>
      </c>
      <c r="AH50" s="159">
        <f t="shared" ref="AH50" si="330">IF(AE50="00",99,AE50-1)</f>
        <v>-1</v>
      </c>
      <c r="AI50" s="156" t="str">
        <f t="shared" ref="AI50" si="331">IF(AF50&lt;10,CONCATENATE("0",AF50),AF50)</f>
        <v>0</v>
      </c>
      <c r="AJ50" s="160" t="str">
        <f t="shared" ref="AJ50" si="332">IF(AG50&lt;10,CONCATENATE("0",AG50),AG50)</f>
        <v>0</v>
      </c>
      <c r="AK50" s="156" t="str">
        <f t="shared" ref="AK50" si="333">IF(AH50&lt;10,CONCATENATE("0",AH50),AH50)</f>
        <v>0-1</v>
      </c>
      <c r="AL50" s="161" t="str">
        <f t="shared" ref="AL50" si="334">CONCATENATE(AI50,":",AJ50,",",AK50)</f>
        <v>0:0,0-1</v>
      </c>
      <c r="AM50" s="156" t="e">
        <f t="shared" si="12"/>
        <v>#VALUE!</v>
      </c>
    </row>
    <row r="51" spans="2:39" x14ac:dyDescent="0.25">
      <c r="T51" s="138">
        <v>11</v>
      </c>
      <c r="U51" s="138">
        <v>10</v>
      </c>
      <c r="V51" s="138">
        <v>9</v>
      </c>
      <c r="W51" s="138">
        <v>8</v>
      </c>
      <c r="X51" s="138">
        <v>7</v>
      </c>
      <c r="Y51" s="138">
        <v>6</v>
      </c>
      <c r="Z51" s="138">
        <v>5</v>
      </c>
      <c r="AA51" s="162"/>
      <c r="AB51" s="163"/>
      <c r="AC51" s="164"/>
      <c r="AD51" s="165"/>
      <c r="AE51" s="166"/>
      <c r="AF51" s="164"/>
      <c r="AG51" s="165"/>
      <c r="AH51" s="166"/>
      <c r="AI51" s="163"/>
      <c r="AJ51" s="162"/>
      <c r="AK51" s="163"/>
      <c r="AL51" s="167"/>
      <c r="AM51" s="163"/>
    </row>
    <row r="52" spans="2:39" ht="22.8" x14ac:dyDescent="0.25">
      <c r="B52" s="135"/>
      <c r="C52" s="136"/>
      <c r="D52" s="136"/>
      <c r="E52" s="136"/>
      <c r="F52" s="136"/>
      <c r="G52" s="145"/>
      <c r="H52" s="148" t="str">
        <f>IF(C52="","",HLOOKUP(CONCATENATE("M",C52),'KAVVV Records &amp; age-grading'!$C$1:$Q$1,1,TRUE))</f>
        <v/>
      </c>
      <c r="I52" s="149" t="str">
        <f>IF(H52="","",HLOOKUP(H52,'KAVVV Records &amp; age-grading'!$C$1:$P$29,AA52+2,TRUE))</f>
        <v/>
      </c>
      <c r="J52" s="150" t="str">
        <f t="shared" ref="J52" si="335">IF(AC52+AD52+AE52=0,"",CONCATENATE(AC52,":",AD52,",",AE52))</f>
        <v/>
      </c>
      <c r="K52" s="144"/>
      <c r="L52" s="151" t="str">
        <f t="shared" ref="L52" si="336">IF(D52+E52+F52=0,"",HLOOKUP(AM52,U52:Z53,2,TRUE))</f>
        <v/>
      </c>
      <c r="M52" s="152"/>
      <c r="N52" s="153" t="str">
        <f t="shared" ref="N52" si="337">IF($I52="","",N$4*$I52)</f>
        <v/>
      </c>
      <c r="O52" s="153" t="str">
        <f t="shared" si="52"/>
        <v/>
      </c>
      <c r="P52" s="153" t="str">
        <f t="shared" si="52"/>
        <v/>
      </c>
      <c r="Q52" s="153" t="str">
        <f t="shared" si="52"/>
        <v/>
      </c>
      <c r="R52" s="153" t="str">
        <f t="shared" si="52"/>
        <v/>
      </c>
      <c r="S52" s="153" t="str">
        <f t="shared" si="52"/>
        <v/>
      </c>
      <c r="T52" s="154">
        <v>0</v>
      </c>
      <c r="U52" s="155" t="str">
        <f t="shared" ref="U52" si="338">N52</f>
        <v/>
      </c>
      <c r="V52" s="155" t="str">
        <f t="shared" ref="V52" si="339">O52</f>
        <v/>
      </c>
      <c r="W52" s="155" t="str">
        <f t="shared" ref="W52" si="340">P52</f>
        <v/>
      </c>
      <c r="X52" s="155" t="str">
        <f t="shared" ref="X52" si="341">Q52</f>
        <v/>
      </c>
      <c r="Y52" s="155" t="str">
        <f t="shared" ref="Y52" si="342">R52</f>
        <v/>
      </c>
      <c r="Z52" s="155" t="str">
        <f t="shared" ref="Z52" si="343">S52</f>
        <v/>
      </c>
      <c r="AA52" s="156" t="e">
        <f>VLOOKUP(B52,'KAVVV Records &amp; age-grading'!$A$3:$B$28,2,FALSE)</f>
        <v>#N/A</v>
      </c>
      <c r="AB52" s="156"/>
      <c r="AC52" s="157" t="str">
        <f t="shared" ref="AC52" si="344">IF(B52&lt;10,CONCATENATE("0",D52),D52)</f>
        <v>0</v>
      </c>
      <c r="AD52" s="158" t="str">
        <f t="shared" ref="AD52" si="345">IF(E52&lt;10,CONCATENATE("0",E52),E52)</f>
        <v>0</v>
      </c>
      <c r="AE52" s="159" t="str">
        <f t="shared" ref="AE52" si="346">IF(F52&lt;10,CONCATENATE("0",F52),F52)</f>
        <v>0</v>
      </c>
      <c r="AF52" s="157" t="str">
        <f t="shared" ref="AF52" si="347">IF(AD52=0,IF(AE52=0,AC52-1,AC52),AC52)</f>
        <v>0</v>
      </c>
      <c r="AG52" s="158" t="str">
        <f t="shared" ref="AG52" si="348">IF(AE52="00",IF(AD52=0,59,AD52-1),AD52)</f>
        <v>0</v>
      </c>
      <c r="AH52" s="159">
        <f t="shared" ref="AH52" si="349">IF(AE52="00",99,AE52-1)</f>
        <v>-1</v>
      </c>
      <c r="AI52" s="156" t="str">
        <f t="shared" ref="AI52" si="350">IF(AF52&lt;10,CONCATENATE("0",AF52),AF52)</f>
        <v>0</v>
      </c>
      <c r="AJ52" s="160" t="str">
        <f t="shared" ref="AJ52" si="351">IF(AG52&lt;10,CONCATENATE("0",AG52),AG52)</f>
        <v>0</v>
      </c>
      <c r="AK52" s="156" t="str">
        <f t="shared" ref="AK52" si="352">IF(AH52&lt;10,CONCATENATE("0",AH52),AH52)</f>
        <v>0-1</v>
      </c>
      <c r="AL52" s="161" t="str">
        <f t="shared" ref="AL52" si="353">CONCATENATE(AI52,":",AJ52,",",AK52)</f>
        <v>0:0,0-1</v>
      </c>
      <c r="AM52" s="156" t="e">
        <f t="shared" si="12"/>
        <v>#VALUE!</v>
      </c>
    </row>
    <row r="53" spans="2:39" x14ac:dyDescent="0.25">
      <c r="T53" s="138">
        <v>11</v>
      </c>
      <c r="U53" s="138">
        <v>10</v>
      </c>
      <c r="V53" s="138">
        <v>9</v>
      </c>
      <c r="W53" s="138">
        <v>8</v>
      </c>
      <c r="X53" s="138">
        <v>7</v>
      </c>
      <c r="Y53" s="138">
        <v>6</v>
      </c>
      <c r="Z53" s="138">
        <v>5</v>
      </c>
      <c r="AA53" s="162"/>
      <c r="AB53" s="163"/>
      <c r="AC53" s="164"/>
      <c r="AD53" s="165"/>
      <c r="AE53" s="166"/>
      <c r="AF53" s="164"/>
      <c r="AG53" s="165"/>
      <c r="AH53" s="166"/>
      <c r="AI53" s="163"/>
      <c r="AJ53" s="162"/>
      <c r="AK53" s="163"/>
      <c r="AL53" s="167"/>
      <c r="AM53" s="163"/>
    </row>
    <row r="54" spans="2:39" ht="22.8" x14ac:dyDescent="0.25">
      <c r="B54" s="135"/>
      <c r="C54" s="136"/>
      <c r="D54" s="136"/>
      <c r="E54" s="136"/>
      <c r="F54" s="136"/>
      <c r="G54" s="145"/>
      <c r="H54" s="148" t="str">
        <f>IF(C54="","",HLOOKUP(CONCATENATE("M",C54),'KAVVV Records &amp; age-grading'!$C$1:$Q$1,1,TRUE))</f>
        <v/>
      </c>
      <c r="I54" s="149" t="str">
        <f>IF(H54="","",HLOOKUP(H54,'KAVVV Records &amp; age-grading'!$C$1:$P$29,AA54+2,TRUE))</f>
        <v/>
      </c>
      <c r="J54" s="150" t="str">
        <f t="shared" ref="J54" si="354">IF(AC54+AD54+AE54=0,"",CONCATENATE(AC54,":",AD54,",",AE54))</f>
        <v/>
      </c>
      <c r="K54" s="144"/>
      <c r="L54" s="151" t="str">
        <f t="shared" ref="L54" si="355">IF(D54+E54+F54=0,"",HLOOKUP(AM54,U54:Z55,2,TRUE))</f>
        <v/>
      </c>
      <c r="M54" s="152"/>
      <c r="N54" s="153" t="str">
        <f t="shared" ref="N54:S100" si="356">IF($I54="","",N$4*$I54)</f>
        <v/>
      </c>
      <c r="O54" s="153" t="str">
        <f t="shared" si="356"/>
        <v/>
      </c>
      <c r="P54" s="153" t="str">
        <f t="shared" si="356"/>
        <v/>
      </c>
      <c r="Q54" s="153" t="str">
        <f t="shared" si="356"/>
        <v/>
      </c>
      <c r="R54" s="153" t="str">
        <f t="shared" si="356"/>
        <v/>
      </c>
      <c r="S54" s="153" t="str">
        <f t="shared" si="356"/>
        <v/>
      </c>
      <c r="T54" s="154">
        <v>0</v>
      </c>
      <c r="U54" s="155" t="str">
        <f t="shared" ref="U54" si="357">N54</f>
        <v/>
      </c>
      <c r="V54" s="155" t="str">
        <f t="shared" ref="V54" si="358">O54</f>
        <v/>
      </c>
      <c r="W54" s="155" t="str">
        <f t="shared" ref="W54" si="359">P54</f>
        <v/>
      </c>
      <c r="X54" s="155" t="str">
        <f t="shared" ref="X54" si="360">Q54</f>
        <v/>
      </c>
      <c r="Y54" s="155" t="str">
        <f t="shared" ref="Y54" si="361">R54</f>
        <v/>
      </c>
      <c r="Z54" s="155" t="str">
        <f t="shared" ref="Z54" si="362">S54</f>
        <v/>
      </c>
      <c r="AA54" s="156" t="e">
        <f>VLOOKUP(B54,'KAVVV Records &amp; age-grading'!$A$3:$B$28,2,FALSE)</f>
        <v>#N/A</v>
      </c>
      <c r="AB54" s="156"/>
      <c r="AC54" s="157" t="str">
        <f t="shared" ref="AC54" si="363">IF(B54&lt;10,CONCATENATE("0",D54),D54)</f>
        <v>0</v>
      </c>
      <c r="AD54" s="158" t="str">
        <f t="shared" ref="AD54" si="364">IF(E54&lt;10,CONCATENATE("0",E54),E54)</f>
        <v>0</v>
      </c>
      <c r="AE54" s="159" t="str">
        <f t="shared" ref="AE54" si="365">IF(F54&lt;10,CONCATENATE("0",F54),F54)</f>
        <v>0</v>
      </c>
      <c r="AF54" s="157" t="str">
        <f t="shared" ref="AF54" si="366">IF(AD54=0,IF(AE54=0,AC54-1,AC54),AC54)</f>
        <v>0</v>
      </c>
      <c r="AG54" s="158" t="str">
        <f t="shared" ref="AG54" si="367">IF(AE54="00",IF(AD54=0,59,AD54-1),AD54)</f>
        <v>0</v>
      </c>
      <c r="AH54" s="159">
        <f t="shared" ref="AH54" si="368">IF(AE54="00",99,AE54-1)</f>
        <v>-1</v>
      </c>
      <c r="AI54" s="156" t="str">
        <f t="shared" ref="AI54" si="369">IF(AF54&lt;10,CONCATENATE("0",AF54),AF54)</f>
        <v>0</v>
      </c>
      <c r="AJ54" s="160" t="str">
        <f t="shared" ref="AJ54" si="370">IF(AG54&lt;10,CONCATENATE("0",AG54),AG54)</f>
        <v>0</v>
      </c>
      <c r="AK54" s="156" t="str">
        <f t="shared" ref="AK54" si="371">IF(AH54&lt;10,CONCATENATE("0",AH54),AH54)</f>
        <v>0-1</v>
      </c>
      <c r="AL54" s="161" t="str">
        <f t="shared" ref="AL54" si="372">CONCATENATE(AI54,":",AJ54,",",AK54)</f>
        <v>0:0,0-1</v>
      </c>
      <c r="AM54" s="156" t="e">
        <f t="shared" si="12"/>
        <v>#VALUE!</v>
      </c>
    </row>
    <row r="55" spans="2:39" x14ac:dyDescent="0.25">
      <c r="T55" s="138">
        <v>11</v>
      </c>
      <c r="U55" s="138">
        <v>10</v>
      </c>
      <c r="V55" s="138">
        <v>9</v>
      </c>
      <c r="W55" s="138">
        <v>8</v>
      </c>
      <c r="X55" s="138">
        <v>7</v>
      </c>
      <c r="Y55" s="138">
        <v>6</v>
      </c>
      <c r="Z55" s="138">
        <v>5</v>
      </c>
      <c r="AA55" s="162"/>
      <c r="AB55" s="163"/>
      <c r="AC55" s="164"/>
      <c r="AD55" s="165"/>
      <c r="AE55" s="166"/>
      <c r="AF55" s="164"/>
      <c r="AG55" s="165"/>
      <c r="AH55" s="166"/>
      <c r="AI55" s="163"/>
      <c r="AJ55" s="162"/>
      <c r="AK55" s="163"/>
      <c r="AL55" s="167"/>
      <c r="AM55" s="163"/>
    </row>
    <row r="56" spans="2:39" ht="22.8" x14ac:dyDescent="0.25">
      <c r="B56" s="135"/>
      <c r="C56" s="136"/>
      <c r="D56" s="136"/>
      <c r="E56" s="136"/>
      <c r="F56" s="136"/>
      <c r="G56" s="145"/>
      <c r="H56" s="148" t="str">
        <f>IF(C56="","",HLOOKUP(CONCATENATE("M",C56),'KAVVV Records &amp; age-grading'!$C$1:$Q$1,1,TRUE))</f>
        <v/>
      </c>
      <c r="I56" s="149" t="str">
        <f>IF(H56="","",HLOOKUP(H56,'KAVVV Records &amp; age-grading'!$C$1:$P$29,AA56+2,TRUE))</f>
        <v/>
      </c>
      <c r="J56" s="150" t="str">
        <f t="shared" ref="J56" si="373">IF(AC56+AD56+AE56=0,"",CONCATENATE(AC56,":",AD56,",",AE56))</f>
        <v/>
      </c>
      <c r="K56" s="144"/>
      <c r="L56" s="151" t="str">
        <f t="shared" ref="L56" si="374">IF(D56+E56+F56=0,"",HLOOKUP(AM56,U56:Z57,2,TRUE))</f>
        <v/>
      </c>
      <c r="M56" s="152"/>
      <c r="N56" s="153" t="str">
        <f t="shared" ref="N56" si="375">IF($I56="","",N$4*$I56)</f>
        <v/>
      </c>
      <c r="O56" s="153" t="str">
        <f t="shared" si="356"/>
        <v/>
      </c>
      <c r="P56" s="153" t="str">
        <f t="shared" si="356"/>
        <v/>
      </c>
      <c r="Q56" s="153" t="str">
        <f t="shared" si="356"/>
        <v/>
      </c>
      <c r="R56" s="153" t="str">
        <f t="shared" si="356"/>
        <v/>
      </c>
      <c r="S56" s="153" t="str">
        <f t="shared" si="356"/>
        <v/>
      </c>
      <c r="T56" s="154">
        <v>0</v>
      </c>
      <c r="U56" s="155" t="str">
        <f t="shared" ref="U56" si="376">N56</f>
        <v/>
      </c>
      <c r="V56" s="155" t="str">
        <f t="shared" ref="V56" si="377">O56</f>
        <v/>
      </c>
      <c r="W56" s="155" t="str">
        <f t="shared" ref="W56" si="378">P56</f>
        <v/>
      </c>
      <c r="X56" s="155" t="str">
        <f t="shared" ref="X56" si="379">Q56</f>
        <v/>
      </c>
      <c r="Y56" s="155" t="str">
        <f t="shared" ref="Y56" si="380">R56</f>
        <v/>
      </c>
      <c r="Z56" s="155" t="str">
        <f t="shared" ref="Z56" si="381">S56</f>
        <v/>
      </c>
      <c r="AA56" s="156" t="e">
        <f>VLOOKUP(B56,'KAVVV Records &amp; age-grading'!$A$3:$B$28,2,FALSE)</f>
        <v>#N/A</v>
      </c>
      <c r="AB56" s="156"/>
      <c r="AC56" s="157" t="str">
        <f t="shared" ref="AC56" si="382">IF(B56&lt;10,CONCATENATE("0",D56),D56)</f>
        <v>0</v>
      </c>
      <c r="AD56" s="158" t="str">
        <f t="shared" ref="AD56" si="383">IF(E56&lt;10,CONCATENATE("0",E56),E56)</f>
        <v>0</v>
      </c>
      <c r="AE56" s="159" t="str">
        <f t="shared" ref="AE56" si="384">IF(F56&lt;10,CONCATENATE("0",F56),F56)</f>
        <v>0</v>
      </c>
      <c r="AF56" s="157" t="str">
        <f t="shared" ref="AF56" si="385">IF(AD56=0,IF(AE56=0,AC56-1,AC56),AC56)</f>
        <v>0</v>
      </c>
      <c r="AG56" s="158" t="str">
        <f t="shared" ref="AG56" si="386">IF(AE56="00",IF(AD56=0,59,AD56-1),AD56)</f>
        <v>0</v>
      </c>
      <c r="AH56" s="159">
        <f t="shared" ref="AH56" si="387">IF(AE56="00",99,AE56-1)</f>
        <v>-1</v>
      </c>
      <c r="AI56" s="156" t="str">
        <f t="shared" ref="AI56" si="388">IF(AF56&lt;10,CONCATENATE("0",AF56),AF56)</f>
        <v>0</v>
      </c>
      <c r="AJ56" s="160" t="str">
        <f t="shared" ref="AJ56" si="389">IF(AG56&lt;10,CONCATENATE("0",AG56),AG56)</f>
        <v>0</v>
      </c>
      <c r="AK56" s="156" t="str">
        <f t="shared" ref="AK56" si="390">IF(AH56&lt;10,CONCATENATE("0",AH56),AH56)</f>
        <v>0-1</v>
      </c>
      <c r="AL56" s="161" t="str">
        <f t="shared" ref="AL56" si="391">CONCATENATE(AI56,":",AJ56,",",AK56)</f>
        <v>0:0,0-1</v>
      </c>
      <c r="AM56" s="156" t="e">
        <f t="shared" si="12"/>
        <v>#VALUE!</v>
      </c>
    </row>
    <row r="57" spans="2:39" x14ac:dyDescent="0.25">
      <c r="T57" s="138">
        <v>11</v>
      </c>
      <c r="U57" s="138">
        <v>10</v>
      </c>
      <c r="V57" s="138">
        <v>9</v>
      </c>
      <c r="W57" s="138">
        <v>8</v>
      </c>
      <c r="X57" s="138">
        <v>7</v>
      </c>
      <c r="Y57" s="138">
        <v>6</v>
      </c>
      <c r="Z57" s="138">
        <v>5</v>
      </c>
      <c r="AA57" s="162"/>
      <c r="AB57" s="163"/>
      <c r="AC57" s="164"/>
      <c r="AD57" s="165"/>
      <c r="AE57" s="166"/>
      <c r="AF57" s="164"/>
      <c r="AG57" s="165"/>
      <c r="AH57" s="166"/>
      <c r="AI57" s="163"/>
      <c r="AJ57" s="162"/>
      <c r="AK57" s="163"/>
      <c r="AL57" s="167"/>
      <c r="AM57" s="163"/>
    </row>
    <row r="58" spans="2:39" ht="22.8" x14ac:dyDescent="0.25">
      <c r="B58" s="135"/>
      <c r="C58" s="136"/>
      <c r="D58" s="136"/>
      <c r="E58" s="136"/>
      <c r="F58" s="136"/>
      <c r="G58" s="145"/>
      <c r="H58" s="148" t="str">
        <f>IF(C58="","",HLOOKUP(CONCATENATE("M",C58),'KAVVV Records &amp; age-grading'!$C$1:$Q$1,1,TRUE))</f>
        <v/>
      </c>
      <c r="I58" s="149" t="str">
        <f>IF(H58="","",HLOOKUP(H58,'KAVVV Records &amp; age-grading'!$C$1:$P$29,AA58+2,TRUE))</f>
        <v/>
      </c>
      <c r="J58" s="150" t="str">
        <f t="shared" ref="J58" si="392">IF(AC58+AD58+AE58=0,"",CONCATENATE(AC58,":",AD58,",",AE58))</f>
        <v/>
      </c>
      <c r="K58" s="144"/>
      <c r="L58" s="151" t="str">
        <f t="shared" ref="L58" si="393">IF(D58+E58+F58=0,"",HLOOKUP(AM58,U58:Z59,2,TRUE))</f>
        <v/>
      </c>
      <c r="M58" s="152"/>
      <c r="N58" s="153" t="str">
        <f t="shared" ref="N58" si="394">IF($I58="","",N$4*$I58)</f>
        <v/>
      </c>
      <c r="O58" s="153" t="str">
        <f t="shared" si="356"/>
        <v/>
      </c>
      <c r="P58" s="153" t="str">
        <f t="shared" si="356"/>
        <v/>
      </c>
      <c r="Q58" s="153" t="str">
        <f t="shared" si="356"/>
        <v/>
      </c>
      <c r="R58" s="153" t="str">
        <f t="shared" si="356"/>
        <v/>
      </c>
      <c r="S58" s="153" t="str">
        <f t="shared" si="356"/>
        <v/>
      </c>
      <c r="T58" s="154">
        <v>0</v>
      </c>
      <c r="U58" s="155" t="str">
        <f t="shared" ref="U58" si="395">N58</f>
        <v/>
      </c>
      <c r="V58" s="155" t="str">
        <f t="shared" ref="V58" si="396">O58</f>
        <v/>
      </c>
      <c r="W58" s="155" t="str">
        <f t="shared" ref="W58" si="397">P58</f>
        <v/>
      </c>
      <c r="X58" s="155" t="str">
        <f t="shared" ref="X58" si="398">Q58</f>
        <v/>
      </c>
      <c r="Y58" s="155" t="str">
        <f t="shared" ref="Y58" si="399">R58</f>
        <v/>
      </c>
      <c r="Z58" s="155" t="str">
        <f t="shared" ref="Z58" si="400">S58</f>
        <v/>
      </c>
      <c r="AA58" s="156" t="e">
        <f>VLOOKUP(B58,'KAVVV Records &amp; age-grading'!$A$3:$B$28,2,FALSE)</f>
        <v>#N/A</v>
      </c>
      <c r="AB58" s="156"/>
      <c r="AC58" s="157" t="str">
        <f t="shared" ref="AC58" si="401">IF(B58&lt;10,CONCATENATE("0",D58),D58)</f>
        <v>0</v>
      </c>
      <c r="AD58" s="158" t="str">
        <f t="shared" ref="AD58" si="402">IF(E58&lt;10,CONCATENATE("0",E58),E58)</f>
        <v>0</v>
      </c>
      <c r="AE58" s="159" t="str">
        <f t="shared" ref="AE58" si="403">IF(F58&lt;10,CONCATENATE("0",F58),F58)</f>
        <v>0</v>
      </c>
      <c r="AF58" s="157" t="str">
        <f t="shared" ref="AF58" si="404">IF(AD58=0,IF(AE58=0,AC58-1,AC58),AC58)</f>
        <v>0</v>
      </c>
      <c r="AG58" s="158" t="str">
        <f t="shared" ref="AG58" si="405">IF(AE58="00",IF(AD58=0,59,AD58-1),AD58)</f>
        <v>0</v>
      </c>
      <c r="AH58" s="159">
        <f t="shared" ref="AH58" si="406">IF(AE58="00",99,AE58-1)</f>
        <v>-1</v>
      </c>
      <c r="AI58" s="156" t="str">
        <f t="shared" ref="AI58" si="407">IF(AF58&lt;10,CONCATENATE("0",AF58),AF58)</f>
        <v>0</v>
      </c>
      <c r="AJ58" s="160" t="str">
        <f t="shared" ref="AJ58" si="408">IF(AG58&lt;10,CONCATENATE("0",AG58),AG58)</f>
        <v>0</v>
      </c>
      <c r="AK58" s="156" t="str">
        <f t="shared" ref="AK58" si="409">IF(AH58&lt;10,CONCATENATE("0",AH58),AH58)</f>
        <v>0-1</v>
      </c>
      <c r="AL58" s="161" t="str">
        <f t="shared" ref="AL58" si="410">CONCATENATE(AI58,":",AJ58,",",AK58)</f>
        <v>0:0,0-1</v>
      </c>
      <c r="AM58" s="156" t="e">
        <f t="shared" si="12"/>
        <v>#VALUE!</v>
      </c>
    </row>
    <row r="59" spans="2:39" x14ac:dyDescent="0.25">
      <c r="T59" s="138">
        <v>11</v>
      </c>
      <c r="U59" s="138">
        <v>10</v>
      </c>
      <c r="V59" s="138">
        <v>9</v>
      </c>
      <c r="W59" s="138">
        <v>8</v>
      </c>
      <c r="X59" s="138">
        <v>7</v>
      </c>
      <c r="Y59" s="138">
        <v>6</v>
      </c>
      <c r="Z59" s="138">
        <v>5</v>
      </c>
      <c r="AA59" s="162"/>
      <c r="AB59" s="163"/>
      <c r="AC59" s="164"/>
      <c r="AD59" s="165"/>
      <c r="AE59" s="166"/>
      <c r="AF59" s="164"/>
      <c r="AG59" s="165"/>
      <c r="AH59" s="166"/>
      <c r="AI59" s="163"/>
      <c r="AJ59" s="162"/>
      <c r="AK59" s="163"/>
      <c r="AL59" s="167"/>
      <c r="AM59" s="163"/>
    </row>
    <row r="60" spans="2:39" ht="22.8" x14ac:dyDescent="0.25">
      <c r="B60" s="135"/>
      <c r="C60" s="136"/>
      <c r="D60" s="136"/>
      <c r="E60" s="136"/>
      <c r="F60" s="136"/>
      <c r="G60" s="145"/>
      <c r="H60" s="148" t="str">
        <f>IF(C60="","",HLOOKUP(CONCATENATE("M",C60),'KAVVV Records &amp; age-grading'!$C$1:$Q$1,1,TRUE))</f>
        <v/>
      </c>
      <c r="I60" s="149" t="str">
        <f>IF(H60="","",HLOOKUP(H60,'KAVVV Records &amp; age-grading'!$C$1:$P$29,AA60+2,TRUE))</f>
        <v/>
      </c>
      <c r="J60" s="150" t="str">
        <f t="shared" ref="J60" si="411">IF(AC60+AD60+AE60=0,"",CONCATENATE(AC60,":",AD60,",",AE60))</f>
        <v/>
      </c>
      <c r="K60" s="144"/>
      <c r="L60" s="151" t="str">
        <f t="shared" ref="L60" si="412">IF(D60+E60+F60=0,"",HLOOKUP(AM60,U60:Z61,2,TRUE))</f>
        <v/>
      </c>
      <c r="M60" s="152"/>
      <c r="N60" s="153" t="str">
        <f t="shared" ref="N60" si="413">IF($I60="","",N$4*$I60)</f>
        <v/>
      </c>
      <c r="O60" s="153" t="str">
        <f t="shared" si="356"/>
        <v/>
      </c>
      <c r="P60" s="153" t="str">
        <f t="shared" si="356"/>
        <v/>
      </c>
      <c r="Q60" s="153" t="str">
        <f t="shared" si="356"/>
        <v/>
      </c>
      <c r="R60" s="153" t="str">
        <f t="shared" si="356"/>
        <v/>
      </c>
      <c r="S60" s="153" t="str">
        <f t="shared" si="356"/>
        <v/>
      </c>
      <c r="T60" s="154">
        <v>0</v>
      </c>
      <c r="U60" s="155" t="str">
        <f t="shared" ref="U60" si="414">N60</f>
        <v/>
      </c>
      <c r="V60" s="155" t="str">
        <f t="shared" ref="V60" si="415">O60</f>
        <v/>
      </c>
      <c r="W60" s="155" t="str">
        <f t="shared" ref="W60" si="416">P60</f>
        <v/>
      </c>
      <c r="X60" s="155" t="str">
        <f t="shared" ref="X60" si="417">Q60</f>
        <v/>
      </c>
      <c r="Y60" s="155" t="str">
        <f t="shared" ref="Y60" si="418">R60</f>
        <v/>
      </c>
      <c r="Z60" s="155" t="str">
        <f t="shared" ref="Z60" si="419">S60</f>
        <v/>
      </c>
      <c r="AA60" s="156" t="e">
        <f>VLOOKUP(B60,'KAVVV Records &amp; age-grading'!$A$3:$B$28,2,FALSE)</f>
        <v>#N/A</v>
      </c>
      <c r="AB60" s="156"/>
      <c r="AC60" s="157" t="str">
        <f t="shared" ref="AC60" si="420">IF(B60&lt;10,CONCATENATE("0",D60),D60)</f>
        <v>0</v>
      </c>
      <c r="AD60" s="158" t="str">
        <f t="shared" ref="AD60" si="421">IF(E60&lt;10,CONCATENATE("0",E60),E60)</f>
        <v>0</v>
      </c>
      <c r="AE60" s="159" t="str">
        <f t="shared" ref="AE60" si="422">IF(F60&lt;10,CONCATENATE("0",F60),F60)</f>
        <v>0</v>
      </c>
      <c r="AF60" s="157" t="str">
        <f t="shared" ref="AF60" si="423">IF(AD60=0,IF(AE60=0,AC60-1,AC60),AC60)</f>
        <v>0</v>
      </c>
      <c r="AG60" s="158" t="str">
        <f t="shared" ref="AG60" si="424">IF(AE60="00",IF(AD60=0,59,AD60-1),AD60)</f>
        <v>0</v>
      </c>
      <c r="AH60" s="159">
        <f t="shared" ref="AH60" si="425">IF(AE60="00",99,AE60-1)</f>
        <v>-1</v>
      </c>
      <c r="AI60" s="156" t="str">
        <f t="shared" ref="AI60" si="426">IF(AF60&lt;10,CONCATENATE("0",AF60),AF60)</f>
        <v>0</v>
      </c>
      <c r="AJ60" s="160" t="str">
        <f t="shared" ref="AJ60" si="427">IF(AG60&lt;10,CONCATENATE("0",AG60),AG60)</f>
        <v>0</v>
      </c>
      <c r="AK60" s="156" t="str">
        <f t="shared" ref="AK60" si="428">IF(AH60&lt;10,CONCATENATE("0",AH60),AH60)</f>
        <v>0-1</v>
      </c>
      <c r="AL60" s="161" t="str">
        <f t="shared" ref="AL60" si="429">CONCATENATE(AI60,":",AJ60,",",AK60)</f>
        <v>0:0,0-1</v>
      </c>
      <c r="AM60" s="156" t="e">
        <f t="shared" si="12"/>
        <v>#VALUE!</v>
      </c>
    </row>
    <row r="61" spans="2:39" x14ac:dyDescent="0.25">
      <c r="T61" s="138">
        <v>11</v>
      </c>
      <c r="U61" s="138">
        <v>10</v>
      </c>
      <c r="V61" s="138">
        <v>9</v>
      </c>
      <c r="W61" s="138">
        <v>8</v>
      </c>
      <c r="X61" s="138">
        <v>7</v>
      </c>
      <c r="Y61" s="138">
        <v>6</v>
      </c>
      <c r="Z61" s="138">
        <v>5</v>
      </c>
      <c r="AA61" s="162"/>
      <c r="AB61" s="163"/>
      <c r="AC61" s="164"/>
      <c r="AD61" s="165"/>
      <c r="AE61" s="166"/>
      <c r="AF61" s="164"/>
      <c r="AG61" s="165"/>
      <c r="AH61" s="166"/>
      <c r="AI61" s="163"/>
      <c r="AJ61" s="162"/>
      <c r="AK61" s="163"/>
      <c r="AL61" s="167"/>
      <c r="AM61" s="163"/>
    </row>
    <row r="62" spans="2:39" ht="22.8" x14ac:dyDescent="0.25">
      <c r="B62" s="135"/>
      <c r="C62" s="136"/>
      <c r="D62" s="136"/>
      <c r="E62" s="136"/>
      <c r="F62" s="136"/>
      <c r="G62" s="145"/>
      <c r="H62" s="148" t="str">
        <f>IF(C62="","",HLOOKUP(CONCATENATE("M",C62),'KAVVV Records &amp; age-grading'!$C$1:$Q$1,1,TRUE))</f>
        <v/>
      </c>
      <c r="I62" s="149" t="str">
        <f>IF(H62="","",HLOOKUP(H62,'KAVVV Records &amp; age-grading'!$C$1:$P$29,AA62+2,TRUE))</f>
        <v/>
      </c>
      <c r="J62" s="150" t="str">
        <f t="shared" ref="J62" si="430">IF(AC62+AD62+AE62=0,"",CONCATENATE(AC62,":",AD62,",",AE62))</f>
        <v/>
      </c>
      <c r="K62" s="144"/>
      <c r="L62" s="151" t="str">
        <f t="shared" ref="L62" si="431">IF(D62+E62+F62=0,"",HLOOKUP(AM62,U62:Z63,2,TRUE))</f>
        <v/>
      </c>
      <c r="M62" s="152"/>
      <c r="N62" s="153" t="str">
        <f t="shared" ref="N62" si="432">IF($I62="","",N$4*$I62)</f>
        <v/>
      </c>
      <c r="O62" s="153" t="str">
        <f t="shared" si="356"/>
        <v/>
      </c>
      <c r="P62" s="153" t="str">
        <f t="shared" si="356"/>
        <v/>
      </c>
      <c r="Q62" s="153" t="str">
        <f t="shared" si="356"/>
        <v/>
      </c>
      <c r="R62" s="153" t="str">
        <f t="shared" si="356"/>
        <v/>
      </c>
      <c r="S62" s="153" t="str">
        <f t="shared" si="356"/>
        <v/>
      </c>
      <c r="T62" s="154">
        <v>0</v>
      </c>
      <c r="U62" s="155" t="str">
        <f t="shared" ref="U62" si="433">N62</f>
        <v/>
      </c>
      <c r="V62" s="155" t="str">
        <f t="shared" ref="V62" si="434">O62</f>
        <v/>
      </c>
      <c r="W62" s="155" t="str">
        <f t="shared" ref="W62" si="435">P62</f>
        <v/>
      </c>
      <c r="X62" s="155" t="str">
        <f t="shared" ref="X62" si="436">Q62</f>
        <v/>
      </c>
      <c r="Y62" s="155" t="str">
        <f t="shared" ref="Y62" si="437">R62</f>
        <v/>
      </c>
      <c r="Z62" s="155" t="str">
        <f t="shared" ref="Z62" si="438">S62</f>
        <v/>
      </c>
      <c r="AA62" s="156" t="e">
        <f>VLOOKUP(B62,'KAVVV Records &amp; age-grading'!$A$3:$B$28,2,FALSE)</f>
        <v>#N/A</v>
      </c>
      <c r="AB62" s="156"/>
      <c r="AC62" s="157" t="str">
        <f t="shared" ref="AC62" si="439">IF(B62&lt;10,CONCATENATE("0",D62),D62)</f>
        <v>0</v>
      </c>
      <c r="AD62" s="158" t="str">
        <f t="shared" ref="AD62" si="440">IF(E62&lt;10,CONCATENATE("0",E62),E62)</f>
        <v>0</v>
      </c>
      <c r="AE62" s="159" t="str">
        <f t="shared" ref="AE62" si="441">IF(F62&lt;10,CONCATENATE("0",F62),F62)</f>
        <v>0</v>
      </c>
      <c r="AF62" s="157" t="str">
        <f t="shared" ref="AF62" si="442">IF(AD62=0,IF(AE62=0,AC62-1,AC62),AC62)</f>
        <v>0</v>
      </c>
      <c r="AG62" s="158" t="str">
        <f t="shared" ref="AG62" si="443">IF(AE62="00",IF(AD62=0,59,AD62-1),AD62)</f>
        <v>0</v>
      </c>
      <c r="AH62" s="159">
        <f t="shared" ref="AH62" si="444">IF(AE62="00",99,AE62-1)</f>
        <v>-1</v>
      </c>
      <c r="AI62" s="156" t="str">
        <f t="shared" ref="AI62" si="445">IF(AF62&lt;10,CONCATENATE("0",AF62),AF62)</f>
        <v>0</v>
      </c>
      <c r="AJ62" s="160" t="str">
        <f t="shared" ref="AJ62" si="446">IF(AG62&lt;10,CONCATENATE("0",AG62),AG62)</f>
        <v>0</v>
      </c>
      <c r="AK62" s="156" t="str">
        <f t="shared" ref="AK62" si="447">IF(AH62&lt;10,CONCATENATE("0",AH62),AH62)</f>
        <v>0-1</v>
      </c>
      <c r="AL62" s="161" t="str">
        <f t="shared" ref="AL62" si="448">CONCATENATE(AI62,":",AJ62,",",AK62)</f>
        <v>0:0,0-1</v>
      </c>
      <c r="AM62" s="156" t="e">
        <f t="shared" si="12"/>
        <v>#VALUE!</v>
      </c>
    </row>
    <row r="63" spans="2:39" x14ac:dyDescent="0.25">
      <c r="T63" s="138">
        <v>11</v>
      </c>
      <c r="U63" s="138">
        <v>10</v>
      </c>
      <c r="V63" s="138">
        <v>9</v>
      </c>
      <c r="W63" s="138">
        <v>8</v>
      </c>
      <c r="X63" s="138">
        <v>7</v>
      </c>
      <c r="Y63" s="138">
        <v>6</v>
      </c>
      <c r="Z63" s="138">
        <v>5</v>
      </c>
      <c r="AA63" s="162"/>
      <c r="AB63" s="163"/>
      <c r="AC63" s="164"/>
      <c r="AD63" s="165"/>
      <c r="AE63" s="166"/>
      <c r="AF63" s="164"/>
      <c r="AG63" s="165"/>
      <c r="AH63" s="166"/>
      <c r="AI63" s="163"/>
      <c r="AJ63" s="162"/>
      <c r="AK63" s="163"/>
      <c r="AL63" s="167"/>
      <c r="AM63" s="163"/>
    </row>
    <row r="64" spans="2:39" ht="22.8" x14ac:dyDescent="0.25">
      <c r="B64" s="135"/>
      <c r="C64" s="136"/>
      <c r="D64" s="136"/>
      <c r="E64" s="136"/>
      <c r="F64" s="136"/>
      <c r="G64" s="145"/>
      <c r="H64" s="148" t="str">
        <f>IF(C64="","",HLOOKUP(CONCATENATE("M",C64),'KAVVV Records &amp; age-grading'!$C$1:$Q$1,1,TRUE))</f>
        <v/>
      </c>
      <c r="I64" s="149" t="str">
        <f>IF(H64="","",HLOOKUP(H64,'KAVVV Records &amp; age-grading'!$C$1:$P$29,AA64+2,TRUE))</f>
        <v/>
      </c>
      <c r="J64" s="150" t="str">
        <f t="shared" ref="J64" si="449">IF(AC64+AD64+AE64=0,"",CONCATENATE(AC64,":",AD64,",",AE64))</f>
        <v/>
      </c>
      <c r="K64" s="144"/>
      <c r="L64" s="151" t="str">
        <f t="shared" ref="L64" si="450">IF(D64+E64+F64=0,"",HLOOKUP(AM64,U64:Z65,2,TRUE))</f>
        <v/>
      </c>
      <c r="M64" s="152"/>
      <c r="N64" s="153" t="str">
        <f t="shared" ref="N64" si="451">IF($I64="","",N$4*$I64)</f>
        <v/>
      </c>
      <c r="O64" s="153" t="str">
        <f t="shared" si="356"/>
        <v/>
      </c>
      <c r="P64" s="153" t="str">
        <f t="shared" si="356"/>
        <v/>
      </c>
      <c r="Q64" s="153" t="str">
        <f t="shared" si="356"/>
        <v/>
      </c>
      <c r="R64" s="153" t="str">
        <f t="shared" si="356"/>
        <v/>
      </c>
      <c r="S64" s="153" t="str">
        <f t="shared" si="356"/>
        <v/>
      </c>
      <c r="T64" s="154">
        <v>0</v>
      </c>
      <c r="U64" s="155" t="str">
        <f t="shared" ref="U64" si="452">N64</f>
        <v/>
      </c>
      <c r="V64" s="155" t="str">
        <f t="shared" ref="V64" si="453">O64</f>
        <v/>
      </c>
      <c r="W64" s="155" t="str">
        <f t="shared" ref="W64" si="454">P64</f>
        <v/>
      </c>
      <c r="X64" s="155" t="str">
        <f t="shared" ref="X64" si="455">Q64</f>
        <v/>
      </c>
      <c r="Y64" s="155" t="str">
        <f t="shared" ref="Y64" si="456">R64</f>
        <v/>
      </c>
      <c r="Z64" s="155" t="str">
        <f t="shared" ref="Z64" si="457">S64</f>
        <v/>
      </c>
      <c r="AA64" s="156" t="e">
        <f>VLOOKUP(B64,'KAVVV Records &amp; age-grading'!$A$3:$B$28,2,FALSE)</f>
        <v>#N/A</v>
      </c>
      <c r="AB64" s="156"/>
      <c r="AC64" s="157" t="str">
        <f t="shared" ref="AC64" si="458">IF(B64&lt;10,CONCATENATE("0",D64),D64)</f>
        <v>0</v>
      </c>
      <c r="AD64" s="158" t="str">
        <f t="shared" ref="AD64" si="459">IF(E64&lt;10,CONCATENATE("0",E64),E64)</f>
        <v>0</v>
      </c>
      <c r="AE64" s="159" t="str">
        <f t="shared" ref="AE64" si="460">IF(F64&lt;10,CONCATENATE("0",F64),F64)</f>
        <v>0</v>
      </c>
      <c r="AF64" s="157" t="str">
        <f t="shared" ref="AF64" si="461">IF(AD64=0,IF(AE64=0,AC64-1,AC64),AC64)</f>
        <v>0</v>
      </c>
      <c r="AG64" s="158" t="str">
        <f t="shared" ref="AG64" si="462">IF(AE64="00",IF(AD64=0,59,AD64-1),AD64)</f>
        <v>0</v>
      </c>
      <c r="AH64" s="159">
        <f t="shared" ref="AH64" si="463">IF(AE64="00",99,AE64-1)</f>
        <v>-1</v>
      </c>
      <c r="AI64" s="156" t="str">
        <f t="shared" ref="AI64" si="464">IF(AF64&lt;10,CONCATENATE("0",AF64),AF64)</f>
        <v>0</v>
      </c>
      <c r="AJ64" s="160" t="str">
        <f t="shared" ref="AJ64" si="465">IF(AG64&lt;10,CONCATENATE("0",AG64),AG64)</f>
        <v>0</v>
      </c>
      <c r="AK64" s="156" t="str">
        <f t="shared" ref="AK64" si="466">IF(AH64&lt;10,CONCATENATE("0",AH64),AH64)</f>
        <v>0-1</v>
      </c>
      <c r="AL64" s="161" t="str">
        <f t="shared" ref="AL64" si="467">CONCATENATE(AI64,":",AJ64,",",AK64)</f>
        <v>0:0,0-1</v>
      </c>
      <c r="AM64" s="156" t="e">
        <f t="shared" si="12"/>
        <v>#VALUE!</v>
      </c>
    </row>
    <row r="65" spans="2:39" x14ac:dyDescent="0.25">
      <c r="T65" s="138">
        <v>11</v>
      </c>
      <c r="U65" s="138">
        <v>10</v>
      </c>
      <c r="V65" s="138">
        <v>9</v>
      </c>
      <c r="W65" s="138">
        <v>8</v>
      </c>
      <c r="X65" s="138">
        <v>7</v>
      </c>
      <c r="Y65" s="138">
        <v>6</v>
      </c>
      <c r="Z65" s="138">
        <v>5</v>
      </c>
      <c r="AA65" s="162"/>
      <c r="AB65" s="163"/>
      <c r="AC65" s="164"/>
      <c r="AD65" s="165"/>
      <c r="AE65" s="166"/>
      <c r="AF65" s="164"/>
      <c r="AG65" s="165"/>
      <c r="AH65" s="166"/>
      <c r="AI65" s="163"/>
      <c r="AJ65" s="162"/>
      <c r="AK65" s="163"/>
      <c r="AL65" s="167"/>
      <c r="AM65" s="163"/>
    </row>
    <row r="66" spans="2:39" ht="22.8" x14ac:dyDescent="0.25">
      <c r="B66" s="135"/>
      <c r="C66" s="136"/>
      <c r="D66" s="136"/>
      <c r="E66" s="136"/>
      <c r="F66" s="136"/>
      <c r="G66" s="145"/>
      <c r="H66" s="148" t="str">
        <f>IF(C66="","",HLOOKUP(CONCATENATE("M",C66),'KAVVV Records &amp; age-grading'!$C$1:$Q$1,1,TRUE))</f>
        <v/>
      </c>
      <c r="I66" s="149" t="str">
        <f>IF(H66="","",HLOOKUP(H66,'KAVVV Records &amp; age-grading'!$C$1:$P$29,AA66+2,TRUE))</f>
        <v/>
      </c>
      <c r="J66" s="150" t="str">
        <f t="shared" ref="J66" si="468">IF(AC66+AD66+AE66=0,"",CONCATENATE(AC66,":",AD66,",",AE66))</f>
        <v/>
      </c>
      <c r="K66" s="144"/>
      <c r="L66" s="151" t="str">
        <f t="shared" ref="L66" si="469">IF(D66+E66+F66=0,"",HLOOKUP(AM66,U66:Z67,2,TRUE))</f>
        <v/>
      </c>
      <c r="M66" s="152"/>
      <c r="N66" s="153" t="str">
        <f t="shared" ref="N66" si="470">IF($I66="","",N$4*$I66)</f>
        <v/>
      </c>
      <c r="O66" s="153" t="str">
        <f t="shared" si="356"/>
        <v/>
      </c>
      <c r="P66" s="153" t="str">
        <f t="shared" si="356"/>
        <v/>
      </c>
      <c r="Q66" s="153" t="str">
        <f t="shared" si="356"/>
        <v/>
      </c>
      <c r="R66" s="153" t="str">
        <f t="shared" si="356"/>
        <v/>
      </c>
      <c r="S66" s="153" t="str">
        <f t="shared" si="356"/>
        <v/>
      </c>
      <c r="T66" s="154">
        <v>0</v>
      </c>
      <c r="U66" s="155" t="str">
        <f t="shared" ref="U66" si="471">N66</f>
        <v/>
      </c>
      <c r="V66" s="155" t="str">
        <f t="shared" ref="V66" si="472">O66</f>
        <v/>
      </c>
      <c r="W66" s="155" t="str">
        <f t="shared" ref="W66" si="473">P66</f>
        <v/>
      </c>
      <c r="X66" s="155" t="str">
        <f t="shared" ref="X66" si="474">Q66</f>
        <v/>
      </c>
      <c r="Y66" s="155" t="str">
        <f t="shared" ref="Y66" si="475">R66</f>
        <v/>
      </c>
      <c r="Z66" s="155" t="str">
        <f t="shared" ref="Z66" si="476">S66</f>
        <v/>
      </c>
      <c r="AA66" s="156" t="e">
        <f>VLOOKUP(B66,'KAVVV Records &amp; age-grading'!$A$3:$B$28,2,FALSE)</f>
        <v>#N/A</v>
      </c>
      <c r="AB66" s="156"/>
      <c r="AC66" s="157" t="str">
        <f t="shared" ref="AC66" si="477">IF(B66&lt;10,CONCATENATE("0",D66),D66)</f>
        <v>0</v>
      </c>
      <c r="AD66" s="158" t="str">
        <f t="shared" ref="AD66" si="478">IF(E66&lt;10,CONCATENATE("0",E66),E66)</f>
        <v>0</v>
      </c>
      <c r="AE66" s="159" t="str">
        <f t="shared" ref="AE66" si="479">IF(F66&lt;10,CONCATENATE("0",F66),F66)</f>
        <v>0</v>
      </c>
      <c r="AF66" s="157" t="str">
        <f t="shared" ref="AF66" si="480">IF(AD66=0,IF(AE66=0,AC66-1,AC66),AC66)</f>
        <v>0</v>
      </c>
      <c r="AG66" s="158" t="str">
        <f t="shared" ref="AG66" si="481">IF(AE66="00",IF(AD66=0,59,AD66-1),AD66)</f>
        <v>0</v>
      </c>
      <c r="AH66" s="159">
        <f t="shared" ref="AH66" si="482">IF(AE66="00",99,AE66-1)</f>
        <v>-1</v>
      </c>
      <c r="AI66" s="156" t="str">
        <f t="shared" ref="AI66" si="483">IF(AF66&lt;10,CONCATENATE("0",AF66),AF66)</f>
        <v>0</v>
      </c>
      <c r="AJ66" s="160" t="str">
        <f t="shared" ref="AJ66" si="484">IF(AG66&lt;10,CONCATENATE("0",AG66),AG66)</f>
        <v>0</v>
      </c>
      <c r="AK66" s="156" t="str">
        <f t="shared" ref="AK66" si="485">IF(AH66&lt;10,CONCATENATE("0",AH66),AH66)</f>
        <v>0-1</v>
      </c>
      <c r="AL66" s="161" t="str">
        <f t="shared" ref="AL66" si="486">CONCATENATE(AI66,":",AJ66,",",AK66)</f>
        <v>0:0,0-1</v>
      </c>
      <c r="AM66" s="156" t="e">
        <f t="shared" si="12"/>
        <v>#VALUE!</v>
      </c>
    </row>
    <row r="67" spans="2:39" x14ac:dyDescent="0.25">
      <c r="T67" s="138">
        <v>11</v>
      </c>
      <c r="U67" s="138">
        <v>10</v>
      </c>
      <c r="V67" s="138">
        <v>9</v>
      </c>
      <c r="W67" s="138">
        <v>8</v>
      </c>
      <c r="X67" s="138">
        <v>7</v>
      </c>
      <c r="Y67" s="138">
        <v>6</v>
      </c>
      <c r="Z67" s="138">
        <v>5</v>
      </c>
      <c r="AA67" s="162"/>
      <c r="AB67" s="163"/>
      <c r="AC67" s="164"/>
      <c r="AD67" s="165"/>
      <c r="AE67" s="166"/>
      <c r="AF67" s="164"/>
      <c r="AG67" s="165"/>
      <c r="AH67" s="166"/>
      <c r="AI67" s="163"/>
      <c r="AJ67" s="162"/>
      <c r="AK67" s="163"/>
      <c r="AL67" s="167"/>
      <c r="AM67" s="163"/>
    </row>
    <row r="68" spans="2:39" ht="22.8" x14ac:dyDescent="0.25">
      <c r="B68" s="135"/>
      <c r="C68" s="136"/>
      <c r="D68" s="136"/>
      <c r="E68" s="136"/>
      <c r="F68" s="136"/>
      <c r="G68" s="145"/>
      <c r="H68" s="148" t="str">
        <f>IF(C68="","",HLOOKUP(CONCATENATE("M",C68),'KAVVV Records &amp; age-grading'!$C$1:$Q$1,1,TRUE))</f>
        <v/>
      </c>
      <c r="I68" s="149" t="str">
        <f>IF(H68="","",HLOOKUP(H68,'KAVVV Records &amp; age-grading'!$C$1:$P$29,AA68+2,TRUE))</f>
        <v/>
      </c>
      <c r="J68" s="150" t="str">
        <f t="shared" ref="J68" si="487">IF(AC68+AD68+AE68=0,"",CONCATENATE(AC68,":",AD68,",",AE68))</f>
        <v/>
      </c>
      <c r="K68" s="144"/>
      <c r="L68" s="151" t="str">
        <f t="shared" ref="L68" si="488">IF(D68+E68+F68=0,"",HLOOKUP(AM68,U68:Z69,2,TRUE))</f>
        <v/>
      </c>
      <c r="M68" s="152"/>
      <c r="N68" s="153" t="str">
        <f t="shared" ref="N68" si="489">IF($I68="","",N$4*$I68)</f>
        <v/>
      </c>
      <c r="O68" s="153" t="str">
        <f t="shared" si="356"/>
        <v/>
      </c>
      <c r="P68" s="153" t="str">
        <f t="shared" si="356"/>
        <v/>
      </c>
      <c r="Q68" s="153" t="str">
        <f t="shared" si="356"/>
        <v/>
      </c>
      <c r="R68" s="153" t="str">
        <f t="shared" si="356"/>
        <v/>
      </c>
      <c r="S68" s="153" t="str">
        <f t="shared" si="356"/>
        <v/>
      </c>
      <c r="T68" s="154">
        <v>0</v>
      </c>
      <c r="U68" s="155" t="str">
        <f t="shared" ref="U68" si="490">N68</f>
        <v/>
      </c>
      <c r="V68" s="155" t="str">
        <f t="shared" ref="V68" si="491">O68</f>
        <v/>
      </c>
      <c r="W68" s="155" t="str">
        <f t="shared" ref="W68" si="492">P68</f>
        <v/>
      </c>
      <c r="X68" s="155" t="str">
        <f t="shared" ref="X68" si="493">Q68</f>
        <v/>
      </c>
      <c r="Y68" s="155" t="str">
        <f t="shared" ref="Y68" si="494">R68</f>
        <v/>
      </c>
      <c r="Z68" s="155" t="str">
        <f t="shared" ref="Z68" si="495">S68</f>
        <v/>
      </c>
      <c r="AA68" s="156" t="e">
        <f>VLOOKUP(B68,'KAVVV Records &amp; age-grading'!$A$3:$B$28,2,FALSE)</f>
        <v>#N/A</v>
      </c>
      <c r="AB68" s="156"/>
      <c r="AC68" s="157" t="str">
        <f t="shared" ref="AC68" si="496">IF(B68&lt;10,CONCATENATE("0",D68),D68)</f>
        <v>0</v>
      </c>
      <c r="AD68" s="158" t="str">
        <f t="shared" ref="AD68" si="497">IF(E68&lt;10,CONCATENATE("0",E68),E68)</f>
        <v>0</v>
      </c>
      <c r="AE68" s="159" t="str">
        <f t="shared" ref="AE68" si="498">IF(F68&lt;10,CONCATENATE("0",F68),F68)</f>
        <v>0</v>
      </c>
      <c r="AF68" s="157" t="str">
        <f t="shared" ref="AF68" si="499">IF(AD68=0,IF(AE68=0,AC68-1,AC68),AC68)</f>
        <v>0</v>
      </c>
      <c r="AG68" s="158" t="str">
        <f t="shared" ref="AG68" si="500">IF(AE68="00",IF(AD68=0,59,AD68-1),AD68)</f>
        <v>0</v>
      </c>
      <c r="AH68" s="159">
        <f t="shared" ref="AH68" si="501">IF(AE68="00",99,AE68-1)</f>
        <v>-1</v>
      </c>
      <c r="AI68" s="156" t="str">
        <f t="shared" ref="AI68" si="502">IF(AF68&lt;10,CONCATENATE("0",AF68),AF68)</f>
        <v>0</v>
      </c>
      <c r="AJ68" s="160" t="str">
        <f t="shared" ref="AJ68" si="503">IF(AG68&lt;10,CONCATENATE("0",AG68),AG68)</f>
        <v>0</v>
      </c>
      <c r="AK68" s="156" t="str">
        <f t="shared" ref="AK68" si="504">IF(AH68&lt;10,CONCATENATE("0",AH68),AH68)</f>
        <v>0-1</v>
      </c>
      <c r="AL68" s="161" t="str">
        <f t="shared" ref="AL68" si="505">CONCATENATE(AI68,":",AJ68,",",AK68)</f>
        <v>0:0,0-1</v>
      </c>
      <c r="AM68" s="156" t="e">
        <f t="shared" si="12"/>
        <v>#VALUE!</v>
      </c>
    </row>
    <row r="69" spans="2:39" x14ac:dyDescent="0.25">
      <c r="T69" s="138">
        <v>11</v>
      </c>
      <c r="U69" s="138">
        <v>10</v>
      </c>
      <c r="V69" s="138">
        <v>9</v>
      </c>
      <c r="W69" s="138">
        <v>8</v>
      </c>
      <c r="X69" s="138">
        <v>7</v>
      </c>
      <c r="Y69" s="138">
        <v>6</v>
      </c>
      <c r="Z69" s="138">
        <v>5</v>
      </c>
      <c r="AA69" s="162"/>
      <c r="AB69" s="163"/>
      <c r="AC69" s="164"/>
      <c r="AD69" s="165"/>
      <c r="AE69" s="166"/>
      <c r="AF69" s="164"/>
      <c r="AG69" s="165"/>
      <c r="AH69" s="166"/>
      <c r="AI69" s="163"/>
      <c r="AJ69" s="162"/>
      <c r="AK69" s="163"/>
      <c r="AL69" s="167"/>
      <c r="AM69" s="163"/>
    </row>
    <row r="70" spans="2:39" ht="22.8" x14ac:dyDescent="0.25">
      <c r="B70" s="135"/>
      <c r="C70" s="136"/>
      <c r="D70" s="136"/>
      <c r="E70" s="136"/>
      <c r="F70" s="136"/>
      <c r="G70" s="145"/>
      <c r="H70" s="148" t="str">
        <f>IF(C70="","",HLOOKUP(CONCATENATE("M",C70),'KAVVV Records &amp; age-grading'!$C$1:$Q$1,1,TRUE))</f>
        <v/>
      </c>
      <c r="I70" s="149" t="str">
        <f>IF(H70="","",HLOOKUP(H70,'KAVVV Records &amp; age-grading'!$C$1:$P$29,AA70+2,TRUE))</f>
        <v/>
      </c>
      <c r="J70" s="150" t="str">
        <f t="shared" ref="J70" si="506">IF(AC70+AD70+AE70=0,"",CONCATENATE(AC70,":",AD70,",",AE70))</f>
        <v/>
      </c>
      <c r="K70" s="144"/>
      <c r="L70" s="151" t="str">
        <f t="shared" ref="L70" si="507">IF(D70+E70+F70=0,"",HLOOKUP(AM70,U70:Z71,2,TRUE))</f>
        <v/>
      </c>
      <c r="M70" s="152"/>
      <c r="N70" s="153" t="str">
        <f t="shared" ref="N70" si="508">IF($I70="","",N$4*$I70)</f>
        <v/>
      </c>
      <c r="O70" s="153" t="str">
        <f t="shared" si="356"/>
        <v/>
      </c>
      <c r="P70" s="153" t="str">
        <f t="shared" si="356"/>
        <v/>
      </c>
      <c r="Q70" s="153" t="str">
        <f t="shared" si="356"/>
        <v/>
      </c>
      <c r="R70" s="153" t="str">
        <f t="shared" si="356"/>
        <v/>
      </c>
      <c r="S70" s="153" t="str">
        <f t="shared" si="356"/>
        <v/>
      </c>
      <c r="T70" s="154">
        <v>0</v>
      </c>
      <c r="U70" s="155" t="str">
        <f t="shared" ref="U70" si="509">N70</f>
        <v/>
      </c>
      <c r="V70" s="155" t="str">
        <f t="shared" ref="V70" si="510">O70</f>
        <v/>
      </c>
      <c r="W70" s="155" t="str">
        <f t="shared" ref="W70" si="511">P70</f>
        <v/>
      </c>
      <c r="X70" s="155" t="str">
        <f t="shared" ref="X70" si="512">Q70</f>
        <v/>
      </c>
      <c r="Y70" s="155" t="str">
        <f t="shared" ref="Y70" si="513">R70</f>
        <v/>
      </c>
      <c r="Z70" s="155" t="str">
        <f t="shared" ref="Z70" si="514">S70</f>
        <v/>
      </c>
      <c r="AA70" s="156" t="e">
        <f>VLOOKUP(B70,'KAVVV Records &amp; age-grading'!$A$3:$B$28,2,FALSE)</f>
        <v>#N/A</v>
      </c>
      <c r="AB70" s="156"/>
      <c r="AC70" s="157" t="str">
        <f t="shared" ref="AC70" si="515">IF(B70&lt;10,CONCATENATE("0",D70),D70)</f>
        <v>0</v>
      </c>
      <c r="AD70" s="158" t="str">
        <f t="shared" ref="AD70" si="516">IF(E70&lt;10,CONCATENATE("0",E70),E70)</f>
        <v>0</v>
      </c>
      <c r="AE70" s="159" t="str">
        <f t="shared" ref="AE70" si="517">IF(F70&lt;10,CONCATENATE("0",F70),F70)</f>
        <v>0</v>
      </c>
      <c r="AF70" s="157" t="str">
        <f t="shared" ref="AF70" si="518">IF(AD70=0,IF(AE70=0,AC70-1,AC70),AC70)</f>
        <v>0</v>
      </c>
      <c r="AG70" s="158" t="str">
        <f t="shared" ref="AG70" si="519">IF(AE70="00",IF(AD70=0,59,AD70-1),AD70)</f>
        <v>0</v>
      </c>
      <c r="AH70" s="159">
        <f t="shared" ref="AH70" si="520">IF(AE70="00",99,AE70-1)</f>
        <v>-1</v>
      </c>
      <c r="AI70" s="156" t="str">
        <f t="shared" ref="AI70" si="521">IF(AF70&lt;10,CONCATENATE("0",AF70),AF70)</f>
        <v>0</v>
      </c>
      <c r="AJ70" s="160" t="str">
        <f t="shared" ref="AJ70" si="522">IF(AG70&lt;10,CONCATENATE("0",AG70),AG70)</f>
        <v>0</v>
      </c>
      <c r="AK70" s="156" t="str">
        <f t="shared" ref="AK70" si="523">IF(AH70&lt;10,CONCATENATE("0",AH70),AH70)</f>
        <v>0-1</v>
      </c>
      <c r="AL70" s="161" t="str">
        <f t="shared" ref="AL70" si="524">CONCATENATE(AI70,":",AJ70,",",AK70)</f>
        <v>0:0,0-1</v>
      </c>
      <c r="AM70" s="156" t="e">
        <f t="shared" ref="AM70:AM100" si="525">TIMEVALUE(AL70)</f>
        <v>#VALUE!</v>
      </c>
    </row>
    <row r="71" spans="2:39" x14ac:dyDescent="0.25">
      <c r="T71" s="138">
        <v>11</v>
      </c>
      <c r="U71" s="138">
        <v>10</v>
      </c>
      <c r="V71" s="138">
        <v>9</v>
      </c>
      <c r="W71" s="138">
        <v>8</v>
      </c>
      <c r="X71" s="138">
        <v>7</v>
      </c>
      <c r="Y71" s="138">
        <v>6</v>
      </c>
      <c r="Z71" s="138">
        <v>5</v>
      </c>
      <c r="AA71" s="162"/>
      <c r="AB71" s="163"/>
      <c r="AC71" s="164"/>
      <c r="AD71" s="165"/>
      <c r="AE71" s="166"/>
      <c r="AF71" s="164"/>
      <c r="AG71" s="165"/>
      <c r="AH71" s="166"/>
      <c r="AI71" s="163"/>
      <c r="AJ71" s="162"/>
      <c r="AK71" s="163"/>
      <c r="AL71" s="167"/>
      <c r="AM71" s="163"/>
    </row>
    <row r="72" spans="2:39" ht="22.8" x14ac:dyDescent="0.25">
      <c r="B72" s="135"/>
      <c r="C72" s="136"/>
      <c r="D72" s="136"/>
      <c r="E72" s="136"/>
      <c r="F72" s="136"/>
      <c r="G72" s="145"/>
      <c r="H72" s="148" t="str">
        <f>IF(C72="","",HLOOKUP(CONCATENATE("M",C72),'KAVVV Records &amp; age-grading'!$C$1:$Q$1,1,TRUE))</f>
        <v/>
      </c>
      <c r="I72" s="149" t="str">
        <f>IF(H72="","",HLOOKUP(H72,'KAVVV Records &amp; age-grading'!$C$1:$P$29,AA72+2,TRUE))</f>
        <v/>
      </c>
      <c r="J72" s="150" t="str">
        <f t="shared" ref="J72" si="526">IF(AC72+AD72+AE72=0,"",CONCATENATE(AC72,":",AD72,",",AE72))</f>
        <v/>
      </c>
      <c r="K72" s="144"/>
      <c r="L72" s="151" t="str">
        <f t="shared" ref="L72" si="527">IF(D72+E72+F72=0,"",HLOOKUP(AM72,U72:Z73,2,TRUE))</f>
        <v/>
      </c>
      <c r="M72" s="152"/>
      <c r="N72" s="153" t="str">
        <f t="shared" ref="N72" si="528">IF($I72="","",N$4*$I72)</f>
        <v/>
      </c>
      <c r="O72" s="153" t="str">
        <f t="shared" si="356"/>
        <v/>
      </c>
      <c r="P72" s="153" t="str">
        <f t="shared" si="356"/>
        <v/>
      </c>
      <c r="Q72" s="153" t="str">
        <f t="shared" si="356"/>
        <v/>
      </c>
      <c r="R72" s="153" t="str">
        <f t="shared" si="356"/>
        <v/>
      </c>
      <c r="S72" s="153" t="str">
        <f t="shared" si="356"/>
        <v/>
      </c>
      <c r="T72" s="154">
        <v>0</v>
      </c>
      <c r="U72" s="155" t="str">
        <f t="shared" ref="U72" si="529">N72</f>
        <v/>
      </c>
      <c r="V72" s="155" t="str">
        <f t="shared" ref="V72" si="530">O72</f>
        <v/>
      </c>
      <c r="W72" s="155" t="str">
        <f t="shared" ref="W72" si="531">P72</f>
        <v/>
      </c>
      <c r="X72" s="155" t="str">
        <f t="shared" ref="X72" si="532">Q72</f>
        <v/>
      </c>
      <c r="Y72" s="155" t="str">
        <f t="shared" ref="Y72" si="533">R72</f>
        <v/>
      </c>
      <c r="Z72" s="155" t="str">
        <f t="shared" ref="Z72" si="534">S72</f>
        <v/>
      </c>
      <c r="AA72" s="156" t="e">
        <f>VLOOKUP(B72,'KAVVV Records &amp; age-grading'!$A$3:$B$28,2,FALSE)</f>
        <v>#N/A</v>
      </c>
      <c r="AB72" s="156"/>
      <c r="AC72" s="157" t="str">
        <f t="shared" ref="AC72" si="535">IF(B72&lt;10,CONCATENATE("0",D72),D72)</f>
        <v>0</v>
      </c>
      <c r="AD72" s="158" t="str">
        <f t="shared" ref="AD72" si="536">IF(E72&lt;10,CONCATENATE("0",E72),E72)</f>
        <v>0</v>
      </c>
      <c r="AE72" s="159" t="str">
        <f t="shared" ref="AE72" si="537">IF(F72&lt;10,CONCATENATE("0",F72),F72)</f>
        <v>0</v>
      </c>
      <c r="AF72" s="157" t="str">
        <f t="shared" ref="AF72" si="538">IF(AD72=0,IF(AE72=0,AC72-1,AC72),AC72)</f>
        <v>0</v>
      </c>
      <c r="AG72" s="158" t="str">
        <f t="shared" ref="AG72" si="539">IF(AE72="00",IF(AD72=0,59,AD72-1),AD72)</f>
        <v>0</v>
      </c>
      <c r="AH72" s="159">
        <f t="shared" ref="AH72" si="540">IF(AE72="00",99,AE72-1)</f>
        <v>-1</v>
      </c>
      <c r="AI72" s="156" t="str">
        <f t="shared" ref="AI72" si="541">IF(AF72&lt;10,CONCATENATE("0",AF72),AF72)</f>
        <v>0</v>
      </c>
      <c r="AJ72" s="160" t="str">
        <f t="shared" ref="AJ72" si="542">IF(AG72&lt;10,CONCATENATE("0",AG72),AG72)</f>
        <v>0</v>
      </c>
      <c r="AK72" s="156" t="str">
        <f t="shared" ref="AK72" si="543">IF(AH72&lt;10,CONCATENATE("0",AH72),AH72)</f>
        <v>0-1</v>
      </c>
      <c r="AL72" s="161" t="str">
        <f t="shared" ref="AL72" si="544">CONCATENATE(AI72,":",AJ72,",",AK72)</f>
        <v>0:0,0-1</v>
      </c>
      <c r="AM72" s="156" t="e">
        <f t="shared" si="525"/>
        <v>#VALUE!</v>
      </c>
    </row>
    <row r="73" spans="2:39" x14ac:dyDescent="0.25">
      <c r="T73" s="138">
        <v>11</v>
      </c>
      <c r="U73" s="138">
        <v>10</v>
      </c>
      <c r="V73" s="138">
        <v>9</v>
      </c>
      <c r="W73" s="138">
        <v>8</v>
      </c>
      <c r="X73" s="138">
        <v>7</v>
      </c>
      <c r="Y73" s="138">
        <v>6</v>
      </c>
      <c r="Z73" s="138">
        <v>5</v>
      </c>
      <c r="AA73" s="162"/>
      <c r="AB73" s="163"/>
      <c r="AC73" s="164"/>
      <c r="AD73" s="165"/>
      <c r="AE73" s="166"/>
      <c r="AF73" s="164"/>
      <c r="AG73" s="165"/>
      <c r="AH73" s="166"/>
      <c r="AI73" s="163"/>
      <c r="AJ73" s="162"/>
      <c r="AK73" s="163"/>
      <c r="AL73" s="167"/>
      <c r="AM73" s="163"/>
    </row>
    <row r="74" spans="2:39" ht="22.8" x14ac:dyDescent="0.25">
      <c r="B74" s="135"/>
      <c r="C74" s="136"/>
      <c r="D74" s="136"/>
      <c r="E74" s="136"/>
      <c r="F74" s="136"/>
      <c r="G74" s="145"/>
      <c r="H74" s="148" t="str">
        <f>IF(C74="","",HLOOKUP(CONCATENATE("M",C74),'KAVVV Records &amp; age-grading'!$C$1:$Q$1,1,TRUE))</f>
        <v/>
      </c>
      <c r="I74" s="149" t="str">
        <f>IF(H74="","",HLOOKUP(H74,'KAVVV Records &amp; age-grading'!$C$1:$P$29,AA74+2,TRUE))</f>
        <v/>
      </c>
      <c r="J74" s="150" t="str">
        <f t="shared" ref="J74" si="545">IF(AC74+AD74+AE74=0,"",CONCATENATE(AC74,":",AD74,",",AE74))</f>
        <v/>
      </c>
      <c r="K74" s="144"/>
      <c r="L74" s="151" t="str">
        <f t="shared" ref="L74" si="546">IF(D74+E74+F74=0,"",HLOOKUP(AM74,U74:Z75,2,TRUE))</f>
        <v/>
      </c>
      <c r="M74" s="152"/>
      <c r="N74" s="153" t="str">
        <f t="shared" ref="N74" si="547">IF($I74="","",N$4*$I74)</f>
        <v/>
      </c>
      <c r="O74" s="153" t="str">
        <f t="shared" si="356"/>
        <v/>
      </c>
      <c r="P74" s="153" t="str">
        <f t="shared" si="356"/>
        <v/>
      </c>
      <c r="Q74" s="153" t="str">
        <f t="shared" si="356"/>
        <v/>
      </c>
      <c r="R74" s="153" t="str">
        <f t="shared" si="356"/>
        <v/>
      </c>
      <c r="S74" s="153" t="str">
        <f t="shared" si="356"/>
        <v/>
      </c>
      <c r="T74" s="154">
        <v>0</v>
      </c>
      <c r="U74" s="155" t="str">
        <f t="shared" ref="U74" si="548">N74</f>
        <v/>
      </c>
      <c r="V74" s="155" t="str">
        <f t="shared" ref="V74" si="549">O74</f>
        <v/>
      </c>
      <c r="W74" s="155" t="str">
        <f t="shared" ref="W74" si="550">P74</f>
        <v/>
      </c>
      <c r="X74" s="155" t="str">
        <f t="shared" ref="X74" si="551">Q74</f>
        <v/>
      </c>
      <c r="Y74" s="155" t="str">
        <f t="shared" ref="Y74" si="552">R74</f>
        <v/>
      </c>
      <c r="Z74" s="155" t="str">
        <f t="shared" ref="Z74" si="553">S74</f>
        <v/>
      </c>
      <c r="AA74" s="156" t="e">
        <f>VLOOKUP(B74,'KAVVV Records &amp; age-grading'!$A$3:$B$28,2,FALSE)</f>
        <v>#N/A</v>
      </c>
      <c r="AB74" s="156"/>
      <c r="AC74" s="157" t="str">
        <f t="shared" ref="AC74" si="554">IF(B74&lt;10,CONCATENATE("0",D74),D74)</f>
        <v>0</v>
      </c>
      <c r="AD74" s="158" t="str">
        <f t="shared" ref="AD74" si="555">IF(E74&lt;10,CONCATENATE("0",E74),E74)</f>
        <v>0</v>
      </c>
      <c r="AE74" s="159" t="str">
        <f t="shared" ref="AE74" si="556">IF(F74&lt;10,CONCATENATE("0",F74),F74)</f>
        <v>0</v>
      </c>
      <c r="AF74" s="157" t="str">
        <f t="shared" ref="AF74" si="557">IF(AD74=0,IF(AE74=0,AC74-1,AC74),AC74)</f>
        <v>0</v>
      </c>
      <c r="AG74" s="158" t="str">
        <f t="shared" ref="AG74" si="558">IF(AE74="00",IF(AD74=0,59,AD74-1),AD74)</f>
        <v>0</v>
      </c>
      <c r="AH74" s="159">
        <f t="shared" ref="AH74" si="559">IF(AE74="00",99,AE74-1)</f>
        <v>-1</v>
      </c>
      <c r="AI74" s="156" t="str">
        <f t="shared" ref="AI74" si="560">IF(AF74&lt;10,CONCATENATE("0",AF74),AF74)</f>
        <v>0</v>
      </c>
      <c r="AJ74" s="160" t="str">
        <f t="shared" ref="AJ74" si="561">IF(AG74&lt;10,CONCATENATE("0",AG74),AG74)</f>
        <v>0</v>
      </c>
      <c r="AK74" s="156" t="str">
        <f t="shared" ref="AK74" si="562">IF(AH74&lt;10,CONCATENATE("0",AH74),AH74)</f>
        <v>0-1</v>
      </c>
      <c r="AL74" s="161" t="str">
        <f t="shared" ref="AL74" si="563">CONCATENATE(AI74,":",AJ74,",",AK74)</f>
        <v>0:0,0-1</v>
      </c>
      <c r="AM74" s="156" t="e">
        <f t="shared" si="525"/>
        <v>#VALUE!</v>
      </c>
    </row>
    <row r="75" spans="2:39" x14ac:dyDescent="0.25">
      <c r="T75" s="138">
        <v>11</v>
      </c>
      <c r="U75" s="138">
        <v>10</v>
      </c>
      <c r="V75" s="138">
        <v>9</v>
      </c>
      <c r="W75" s="138">
        <v>8</v>
      </c>
      <c r="X75" s="138">
        <v>7</v>
      </c>
      <c r="Y75" s="138">
        <v>6</v>
      </c>
      <c r="Z75" s="138">
        <v>5</v>
      </c>
      <c r="AA75" s="162"/>
      <c r="AB75" s="163"/>
      <c r="AC75" s="164"/>
      <c r="AD75" s="165"/>
      <c r="AE75" s="166"/>
      <c r="AF75" s="164"/>
      <c r="AG75" s="165"/>
      <c r="AH75" s="166"/>
      <c r="AI75" s="163"/>
      <c r="AJ75" s="162"/>
      <c r="AK75" s="163"/>
      <c r="AL75" s="167"/>
      <c r="AM75" s="163"/>
    </row>
    <row r="76" spans="2:39" ht="22.8" x14ac:dyDescent="0.25">
      <c r="B76" s="135"/>
      <c r="C76" s="136"/>
      <c r="D76" s="136"/>
      <c r="E76" s="136"/>
      <c r="F76" s="136"/>
      <c r="G76" s="145"/>
      <c r="H76" s="148" t="str">
        <f>IF(C76="","",HLOOKUP(CONCATENATE("M",C76),'KAVVV Records &amp; age-grading'!$C$1:$Q$1,1,TRUE))</f>
        <v/>
      </c>
      <c r="I76" s="149" t="str">
        <f>IF(H76="","",HLOOKUP(H76,'KAVVV Records &amp; age-grading'!$C$1:$P$29,AA76+2,TRUE))</f>
        <v/>
      </c>
      <c r="J76" s="150" t="str">
        <f t="shared" ref="J76" si="564">IF(AC76+AD76+AE76=0,"",CONCATENATE(AC76,":",AD76,",",AE76))</f>
        <v/>
      </c>
      <c r="K76" s="144"/>
      <c r="L76" s="151" t="str">
        <f t="shared" ref="L76" si="565">IF(D76+E76+F76=0,"",HLOOKUP(AM76,U76:Z77,2,TRUE))</f>
        <v/>
      </c>
      <c r="M76" s="152"/>
      <c r="N76" s="153" t="str">
        <f t="shared" ref="N76" si="566">IF($I76="","",N$4*$I76)</f>
        <v/>
      </c>
      <c r="O76" s="153" t="str">
        <f t="shared" si="356"/>
        <v/>
      </c>
      <c r="P76" s="153" t="str">
        <f t="shared" si="356"/>
        <v/>
      </c>
      <c r="Q76" s="153" t="str">
        <f t="shared" si="356"/>
        <v/>
      </c>
      <c r="R76" s="153" t="str">
        <f t="shared" si="356"/>
        <v/>
      </c>
      <c r="S76" s="153" t="str">
        <f t="shared" si="356"/>
        <v/>
      </c>
      <c r="T76" s="154">
        <v>0</v>
      </c>
      <c r="U76" s="155" t="str">
        <f t="shared" ref="U76" si="567">N76</f>
        <v/>
      </c>
      <c r="V76" s="155" t="str">
        <f t="shared" ref="V76" si="568">O76</f>
        <v/>
      </c>
      <c r="W76" s="155" t="str">
        <f t="shared" ref="W76" si="569">P76</f>
        <v/>
      </c>
      <c r="X76" s="155" t="str">
        <f t="shared" ref="X76" si="570">Q76</f>
        <v/>
      </c>
      <c r="Y76" s="155" t="str">
        <f t="shared" ref="Y76" si="571">R76</f>
        <v/>
      </c>
      <c r="Z76" s="155" t="str">
        <f t="shared" ref="Z76" si="572">S76</f>
        <v/>
      </c>
      <c r="AA76" s="156" t="e">
        <f>VLOOKUP(B76,'KAVVV Records &amp; age-grading'!$A$3:$B$28,2,FALSE)</f>
        <v>#N/A</v>
      </c>
      <c r="AB76" s="156"/>
      <c r="AC76" s="157" t="str">
        <f t="shared" ref="AC76" si="573">IF(B76&lt;10,CONCATENATE("0",D76),D76)</f>
        <v>0</v>
      </c>
      <c r="AD76" s="158" t="str">
        <f t="shared" ref="AD76" si="574">IF(E76&lt;10,CONCATENATE("0",E76),E76)</f>
        <v>0</v>
      </c>
      <c r="AE76" s="159" t="str">
        <f t="shared" ref="AE76" si="575">IF(F76&lt;10,CONCATENATE("0",F76),F76)</f>
        <v>0</v>
      </c>
      <c r="AF76" s="157" t="str">
        <f t="shared" ref="AF76" si="576">IF(AD76=0,IF(AE76=0,AC76-1,AC76),AC76)</f>
        <v>0</v>
      </c>
      <c r="AG76" s="158" t="str">
        <f t="shared" ref="AG76" si="577">IF(AE76="00",IF(AD76=0,59,AD76-1),AD76)</f>
        <v>0</v>
      </c>
      <c r="AH76" s="159">
        <f t="shared" ref="AH76" si="578">IF(AE76="00",99,AE76-1)</f>
        <v>-1</v>
      </c>
      <c r="AI76" s="156" t="str">
        <f t="shared" ref="AI76" si="579">IF(AF76&lt;10,CONCATENATE("0",AF76),AF76)</f>
        <v>0</v>
      </c>
      <c r="AJ76" s="160" t="str">
        <f t="shared" ref="AJ76" si="580">IF(AG76&lt;10,CONCATENATE("0",AG76),AG76)</f>
        <v>0</v>
      </c>
      <c r="AK76" s="156" t="str">
        <f t="shared" ref="AK76" si="581">IF(AH76&lt;10,CONCATENATE("0",AH76),AH76)</f>
        <v>0-1</v>
      </c>
      <c r="AL76" s="161" t="str">
        <f t="shared" ref="AL76" si="582">CONCATENATE(AI76,":",AJ76,",",AK76)</f>
        <v>0:0,0-1</v>
      </c>
      <c r="AM76" s="156" t="e">
        <f t="shared" si="525"/>
        <v>#VALUE!</v>
      </c>
    </row>
    <row r="77" spans="2:39" x14ac:dyDescent="0.25">
      <c r="T77" s="138">
        <v>11</v>
      </c>
      <c r="U77" s="138">
        <v>10</v>
      </c>
      <c r="V77" s="138">
        <v>9</v>
      </c>
      <c r="W77" s="138">
        <v>8</v>
      </c>
      <c r="X77" s="138">
        <v>7</v>
      </c>
      <c r="Y77" s="138">
        <v>6</v>
      </c>
      <c r="Z77" s="138">
        <v>5</v>
      </c>
      <c r="AA77" s="162"/>
      <c r="AB77" s="163"/>
      <c r="AC77" s="164"/>
      <c r="AD77" s="165"/>
      <c r="AE77" s="166"/>
      <c r="AF77" s="164"/>
      <c r="AG77" s="165"/>
      <c r="AH77" s="166"/>
      <c r="AI77" s="163"/>
      <c r="AJ77" s="162"/>
      <c r="AK77" s="163"/>
      <c r="AL77" s="167"/>
      <c r="AM77" s="163"/>
    </row>
    <row r="78" spans="2:39" ht="22.8" x14ac:dyDescent="0.25">
      <c r="B78" s="135"/>
      <c r="C78" s="136"/>
      <c r="D78" s="136"/>
      <c r="E78" s="136"/>
      <c r="F78" s="136"/>
      <c r="G78" s="145"/>
      <c r="H78" s="148" t="str">
        <f>IF(C78="","",HLOOKUP(CONCATENATE("M",C78),'KAVVV Records &amp; age-grading'!$C$1:$Q$1,1,TRUE))</f>
        <v/>
      </c>
      <c r="I78" s="149" t="str">
        <f>IF(H78="","",HLOOKUP(H78,'KAVVV Records &amp; age-grading'!$C$1:$P$29,AA78+2,TRUE))</f>
        <v/>
      </c>
      <c r="J78" s="150" t="str">
        <f t="shared" ref="J78" si="583">IF(AC78+AD78+AE78=0,"",CONCATENATE(AC78,":",AD78,",",AE78))</f>
        <v/>
      </c>
      <c r="K78" s="144"/>
      <c r="L78" s="151" t="str">
        <f t="shared" ref="L78" si="584">IF(D78+E78+F78=0,"",HLOOKUP(AM78,U78:Z79,2,TRUE))</f>
        <v/>
      </c>
      <c r="M78" s="152"/>
      <c r="N78" s="153" t="str">
        <f t="shared" ref="N78" si="585">IF($I78="","",N$4*$I78)</f>
        <v/>
      </c>
      <c r="O78" s="153" t="str">
        <f t="shared" si="356"/>
        <v/>
      </c>
      <c r="P78" s="153" t="str">
        <f t="shared" si="356"/>
        <v/>
      </c>
      <c r="Q78" s="153" t="str">
        <f t="shared" si="356"/>
        <v/>
      </c>
      <c r="R78" s="153" t="str">
        <f t="shared" si="356"/>
        <v/>
      </c>
      <c r="S78" s="153" t="str">
        <f t="shared" si="356"/>
        <v/>
      </c>
      <c r="T78" s="154">
        <v>0</v>
      </c>
      <c r="U78" s="155" t="str">
        <f t="shared" ref="U78" si="586">N78</f>
        <v/>
      </c>
      <c r="V78" s="155" t="str">
        <f t="shared" ref="V78" si="587">O78</f>
        <v/>
      </c>
      <c r="W78" s="155" t="str">
        <f t="shared" ref="W78" si="588">P78</f>
        <v/>
      </c>
      <c r="X78" s="155" t="str">
        <f t="shared" ref="X78" si="589">Q78</f>
        <v/>
      </c>
      <c r="Y78" s="155" t="str">
        <f t="shared" ref="Y78" si="590">R78</f>
        <v/>
      </c>
      <c r="Z78" s="155" t="str">
        <f t="shared" ref="Z78" si="591">S78</f>
        <v/>
      </c>
      <c r="AA78" s="156" t="e">
        <f>VLOOKUP(B78,'KAVVV Records &amp; age-grading'!$A$3:$B$28,2,FALSE)</f>
        <v>#N/A</v>
      </c>
      <c r="AB78" s="156"/>
      <c r="AC78" s="157" t="str">
        <f t="shared" ref="AC78" si="592">IF(B78&lt;10,CONCATENATE("0",D78),D78)</f>
        <v>0</v>
      </c>
      <c r="AD78" s="158" t="str">
        <f t="shared" ref="AD78" si="593">IF(E78&lt;10,CONCATENATE("0",E78),E78)</f>
        <v>0</v>
      </c>
      <c r="AE78" s="159" t="str">
        <f t="shared" ref="AE78" si="594">IF(F78&lt;10,CONCATENATE("0",F78),F78)</f>
        <v>0</v>
      </c>
      <c r="AF78" s="157" t="str">
        <f t="shared" ref="AF78" si="595">IF(AD78=0,IF(AE78=0,AC78-1,AC78),AC78)</f>
        <v>0</v>
      </c>
      <c r="AG78" s="158" t="str">
        <f t="shared" ref="AG78" si="596">IF(AE78="00",IF(AD78=0,59,AD78-1),AD78)</f>
        <v>0</v>
      </c>
      <c r="AH78" s="159">
        <f t="shared" ref="AH78" si="597">IF(AE78="00",99,AE78-1)</f>
        <v>-1</v>
      </c>
      <c r="AI78" s="156" t="str">
        <f t="shared" ref="AI78" si="598">IF(AF78&lt;10,CONCATENATE("0",AF78),AF78)</f>
        <v>0</v>
      </c>
      <c r="AJ78" s="160" t="str">
        <f t="shared" ref="AJ78" si="599">IF(AG78&lt;10,CONCATENATE("0",AG78),AG78)</f>
        <v>0</v>
      </c>
      <c r="AK78" s="156" t="str">
        <f t="shared" ref="AK78" si="600">IF(AH78&lt;10,CONCATENATE("0",AH78),AH78)</f>
        <v>0-1</v>
      </c>
      <c r="AL78" s="161" t="str">
        <f t="shared" ref="AL78" si="601">CONCATENATE(AI78,":",AJ78,",",AK78)</f>
        <v>0:0,0-1</v>
      </c>
      <c r="AM78" s="156" t="e">
        <f t="shared" si="525"/>
        <v>#VALUE!</v>
      </c>
    </row>
    <row r="79" spans="2:39" x14ac:dyDescent="0.25">
      <c r="T79" s="138">
        <v>11</v>
      </c>
      <c r="U79" s="138">
        <v>10</v>
      </c>
      <c r="V79" s="138">
        <v>9</v>
      </c>
      <c r="W79" s="138">
        <v>8</v>
      </c>
      <c r="X79" s="138">
        <v>7</v>
      </c>
      <c r="Y79" s="138">
        <v>6</v>
      </c>
      <c r="Z79" s="138">
        <v>5</v>
      </c>
      <c r="AA79" s="162"/>
      <c r="AB79" s="163"/>
      <c r="AC79" s="164"/>
      <c r="AD79" s="165"/>
      <c r="AE79" s="166"/>
      <c r="AF79" s="164"/>
      <c r="AG79" s="165"/>
      <c r="AH79" s="166"/>
      <c r="AI79" s="163"/>
      <c r="AJ79" s="162"/>
      <c r="AK79" s="163"/>
      <c r="AL79" s="167"/>
      <c r="AM79" s="163"/>
    </row>
    <row r="80" spans="2:39" ht="22.8" x14ac:dyDescent="0.25">
      <c r="B80" s="135"/>
      <c r="C80" s="136"/>
      <c r="D80" s="136"/>
      <c r="E80" s="136"/>
      <c r="F80" s="136"/>
      <c r="G80" s="145"/>
      <c r="H80" s="148" t="str">
        <f>IF(C80="","",HLOOKUP(CONCATENATE("M",C80),'KAVVV Records &amp; age-grading'!$C$1:$Q$1,1,TRUE))</f>
        <v/>
      </c>
      <c r="I80" s="149" t="str">
        <f>IF(H80="","",HLOOKUP(H80,'KAVVV Records &amp; age-grading'!$C$1:$P$29,AA80+2,TRUE))</f>
        <v/>
      </c>
      <c r="J80" s="150" t="str">
        <f t="shared" ref="J80" si="602">IF(AC80+AD80+AE80=0,"",CONCATENATE(AC80,":",AD80,",",AE80))</f>
        <v/>
      </c>
      <c r="K80" s="144"/>
      <c r="L80" s="151" t="str">
        <f t="shared" ref="L80" si="603">IF(D80+E80+F80=0,"",HLOOKUP(AM80,U80:Z81,2,TRUE))</f>
        <v/>
      </c>
      <c r="M80" s="152"/>
      <c r="N80" s="153" t="str">
        <f t="shared" ref="N80" si="604">IF($I80="","",N$4*$I80)</f>
        <v/>
      </c>
      <c r="O80" s="153" t="str">
        <f t="shared" si="356"/>
        <v/>
      </c>
      <c r="P80" s="153" t="str">
        <f t="shared" si="356"/>
        <v/>
      </c>
      <c r="Q80" s="153" t="str">
        <f t="shared" si="356"/>
        <v/>
      </c>
      <c r="R80" s="153" t="str">
        <f t="shared" si="356"/>
        <v/>
      </c>
      <c r="S80" s="153" t="str">
        <f t="shared" si="356"/>
        <v/>
      </c>
      <c r="T80" s="154">
        <v>0</v>
      </c>
      <c r="U80" s="155" t="str">
        <f t="shared" ref="U80" si="605">N80</f>
        <v/>
      </c>
      <c r="V80" s="155" t="str">
        <f t="shared" ref="V80" si="606">O80</f>
        <v/>
      </c>
      <c r="W80" s="155" t="str">
        <f t="shared" ref="W80" si="607">P80</f>
        <v/>
      </c>
      <c r="X80" s="155" t="str">
        <f t="shared" ref="X80" si="608">Q80</f>
        <v/>
      </c>
      <c r="Y80" s="155" t="str">
        <f t="shared" ref="Y80" si="609">R80</f>
        <v/>
      </c>
      <c r="Z80" s="155" t="str">
        <f t="shared" ref="Z80" si="610">S80</f>
        <v/>
      </c>
      <c r="AA80" s="156" t="e">
        <f>VLOOKUP(B80,'KAVVV Records &amp; age-grading'!$A$3:$B$28,2,FALSE)</f>
        <v>#N/A</v>
      </c>
      <c r="AB80" s="156"/>
      <c r="AC80" s="157" t="str">
        <f t="shared" ref="AC80" si="611">IF(B80&lt;10,CONCATENATE("0",D80),D80)</f>
        <v>0</v>
      </c>
      <c r="AD80" s="158" t="str">
        <f t="shared" ref="AD80" si="612">IF(E80&lt;10,CONCATENATE("0",E80),E80)</f>
        <v>0</v>
      </c>
      <c r="AE80" s="159" t="str">
        <f t="shared" ref="AE80" si="613">IF(F80&lt;10,CONCATENATE("0",F80),F80)</f>
        <v>0</v>
      </c>
      <c r="AF80" s="157" t="str">
        <f t="shared" ref="AF80" si="614">IF(AD80=0,IF(AE80=0,AC80-1,AC80),AC80)</f>
        <v>0</v>
      </c>
      <c r="AG80" s="158" t="str">
        <f t="shared" ref="AG80" si="615">IF(AE80="00",IF(AD80=0,59,AD80-1),AD80)</f>
        <v>0</v>
      </c>
      <c r="AH80" s="159">
        <f t="shared" ref="AH80" si="616">IF(AE80="00",99,AE80-1)</f>
        <v>-1</v>
      </c>
      <c r="AI80" s="156" t="str">
        <f t="shared" ref="AI80" si="617">IF(AF80&lt;10,CONCATENATE("0",AF80),AF80)</f>
        <v>0</v>
      </c>
      <c r="AJ80" s="160" t="str">
        <f t="shared" ref="AJ80" si="618">IF(AG80&lt;10,CONCATENATE("0",AG80),AG80)</f>
        <v>0</v>
      </c>
      <c r="AK80" s="156" t="str">
        <f t="shared" ref="AK80" si="619">IF(AH80&lt;10,CONCATENATE("0",AH80),AH80)</f>
        <v>0-1</v>
      </c>
      <c r="AL80" s="161" t="str">
        <f t="shared" ref="AL80" si="620">CONCATENATE(AI80,":",AJ80,",",AK80)</f>
        <v>0:0,0-1</v>
      </c>
      <c r="AM80" s="156" t="e">
        <f t="shared" si="525"/>
        <v>#VALUE!</v>
      </c>
    </row>
    <row r="81" spans="2:39" x14ac:dyDescent="0.25">
      <c r="T81" s="138">
        <v>11</v>
      </c>
      <c r="U81" s="138">
        <v>10</v>
      </c>
      <c r="V81" s="138">
        <v>9</v>
      </c>
      <c r="W81" s="138">
        <v>8</v>
      </c>
      <c r="X81" s="138">
        <v>7</v>
      </c>
      <c r="Y81" s="138">
        <v>6</v>
      </c>
      <c r="Z81" s="138">
        <v>5</v>
      </c>
      <c r="AA81" s="162"/>
      <c r="AB81" s="163"/>
      <c r="AC81" s="164"/>
      <c r="AD81" s="165"/>
      <c r="AE81" s="166"/>
      <c r="AF81" s="164"/>
      <c r="AG81" s="165"/>
      <c r="AH81" s="166"/>
      <c r="AI81" s="163"/>
      <c r="AJ81" s="162"/>
      <c r="AK81" s="163"/>
      <c r="AL81" s="167"/>
      <c r="AM81" s="163"/>
    </row>
    <row r="82" spans="2:39" ht="22.8" x14ac:dyDescent="0.25">
      <c r="B82" s="135"/>
      <c r="C82" s="136"/>
      <c r="D82" s="136"/>
      <c r="E82" s="136"/>
      <c r="F82" s="136"/>
      <c r="G82" s="145"/>
      <c r="H82" s="148" t="str">
        <f>IF(C82="","",HLOOKUP(CONCATENATE("M",C82),'KAVVV Records &amp; age-grading'!$C$1:$Q$1,1,TRUE))</f>
        <v/>
      </c>
      <c r="I82" s="149" t="str">
        <f>IF(H82="","",HLOOKUP(H82,'KAVVV Records &amp; age-grading'!$C$1:$P$29,AA82+2,TRUE))</f>
        <v/>
      </c>
      <c r="J82" s="150" t="str">
        <f t="shared" ref="J82" si="621">IF(AC82+AD82+AE82=0,"",CONCATENATE(AC82,":",AD82,",",AE82))</f>
        <v/>
      </c>
      <c r="K82" s="144"/>
      <c r="L82" s="151" t="str">
        <f t="shared" ref="L82" si="622">IF(D82+E82+F82=0,"",HLOOKUP(AM82,U82:Z83,2,TRUE))</f>
        <v/>
      </c>
      <c r="M82" s="152"/>
      <c r="N82" s="153" t="str">
        <f t="shared" ref="N82" si="623">IF($I82="","",N$4*$I82)</f>
        <v/>
      </c>
      <c r="O82" s="153" t="str">
        <f t="shared" si="356"/>
        <v/>
      </c>
      <c r="P82" s="153" t="str">
        <f t="shared" si="356"/>
        <v/>
      </c>
      <c r="Q82" s="153" t="str">
        <f t="shared" si="356"/>
        <v/>
      </c>
      <c r="R82" s="153" t="str">
        <f t="shared" si="356"/>
        <v/>
      </c>
      <c r="S82" s="153" t="str">
        <f t="shared" si="356"/>
        <v/>
      </c>
      <c r="T82" s="154">
        <v>0</v>
      </c>
      <c r="U82" s="155" t="str">
        <f t="shared" ref="U82" si="624">N82</f>
        <v/>
      </c>
      <c r="V82" s="155" t="str">
        <f t="shared" ref="V82" si="625">O82</f>
        <v/>
      </c>
      <c r="W82" s="155" t="str">
        <f t="shared" ref="W82" si="626">P82</f>
        <v/>
      </c>
      <c r="X82" s="155" t="str">
        <f t="shared" ref="X82" si="627">Q82</f>
        <v/>
      </c>
      <c r="Y82" s="155" t="str">
        <f t="shared" ref="Y82" si="628">R82</f>
        <v/>
      </c>
      <c r="Z82" s="155" t="str">
        <f t="shared" ref="Z82" si="629">S82</f>
        <v/>
      </c>
      <c r="AA82" s="156" t="e">
        <f>VLOOKUP(B82,'KAVVV Records &amp; age-grading'!$A$3:$B$28,2,FALSE)</f>
        <v>#N/A</v>
      </c>
      <c r="AB82" s="156"/>
      <c r="AC82" s="157" t="str">
        <f t="shared" ref="AC82" si="630">IF(B82&lt;10,CONCATENATE("0",D82),D82)</f>
        <v>0</v>
      </c>
      <c r="AD82" s="158" t="str">
        <f t="shared" ref="AD82" si="631">IF(E82&lt;10,CONCATENATE("0",E82),E82)</f>
        <v>0</v>
      </c>
      <c r="AE82" s="159" t="str">
        <f t="shared" ref="AE82" si="632">IF(F82&lt;10,CONCATENATE("0",F82),F82)</f>
        <v>0</v>
      </c>
      <c r="AF82" s="157" t="str">
        <f t="shared" ref="AF82" si="633">IF(AD82=0,IF(AE82=0,AC82-1,AC82),AC82)</f>
        <v>0</v>
      </c>
      <c r="AG82" s="158" t="str">
        <f t="shared" ref="AG82" si="634">IF(AE82="00",IF(AD82=0,59,AD82-1),AD82)</f>
        <v>0</v>
      </c>
      <c r="AH82" s="159">
        <f t="shared" ref="AH82" si="635">IF(AE82="00",99,AE82-1)</f>
        <v>-1</v>
      </c>
      <c r="AI82" s="156" t="str">
        <f t="shared" ref="AI82" si="636">IF(AF82&lt;10,CONCATENATE("0",AF82),AF82)</f>
        <v>0</v>
      </c>
      <c r="AJ82" s="160" t="str">
        <f t="shared" ref="AJ82" si="637">IF(AG82&lt;10,CONCATENATE("0",AG82),AG82)</f>
        <v>0</v>
      </c>
      <c r="AK82" s="156" t="str">
        <f t="shared" ref="AK82" si="638">IF(AH82&lt;10,CONCATENATE("0",AH82),AH82)</f>
        <v>0-1</v>
      </c>
      <c r="AL82" s="161" t="str">
        <f t="shared" ref="AL82" si="639">CONCATENATE(AI82,":",AJ82,",",AK82)</f>
        <v>0:0,0-1</v>
      </c>
      <c r="AM82" s="156" t="e">
        <f t="shared" si="525"/>
        <v>#VALUE!</v>
      </c>
    </row>
    <row r="83" spans="2:39" x14ac:dyDescent="0.25">
      <c r="T83" s="138">
        <v>11</v>
      </c>
      <c r="U83" s="138">
        <v>10</v>
      </c>
      <c r="V83" s="138">
        <v>9</v>
      </c>
      <c r="W83" s="138">
        <v>8</v>
      </c>
      <c r="X83" s="138">
        <v>7</v>
      </c>
      <c r="Y83" s="138">
        <v>6</v>
      </c>
      <c r="Z83" s="138">
        <v>5</v>
      </c>
      <c r="AA83" s="162"/>
      <c r="AB83" s="163"/>
      <c r="AC83" s="164"/>
      <c r="AD83" s="165"/>
      <c r="AE83" s="166"/>
      <c r="AF83" s="164"/>
      <c r="AG83" s="165"/>
      <c r="AH83" s="166"/>
      <c r="AI83" s="163"/>
      <c r="AJ83" s="162"/>
      <c r="AK83" s="163"/>
      <c r="AL83" s="167"/>
      <c r="AM83" s="163"/>
    </row>
    <row r="84" spans="2:39" ht="22.8" x14ac:dyDescent="0.25">
      <c r="B84" s="135"/>
      <c r="C84" s="136"/>
      <c r="D84" s="136"/>
      <c r="E84" s="136"/>
      <c r="F84" s="136"/>
      <c r="G84" s="145"/>
      <c r="H84" s="148" t="str">
        <f>IF(C84="","",HLOOKUP(CONCATENATE("M",C84),'KAVVV Records &amp; age-grading'!$C$1:$Q$1,1,TRUE))</f>
        <v/>
      </c>
      <c r="I84" s="149" t="str">
        <f>IF(H84="","",HLOOKUP(H84,'KAVVV Records &amp; age-grading'!$C$1:$P$29,AA84+2,TRUE))</f>
        <v/>
      </c>
      <c r="J84" s="150" t="str">
        <f t="shared" ref="J84" si="640">IF(AC84+AD84+AE84=0,"",CONCATENATE(AC84,":",AD84,",",AE84))</f>
        <v/>
      </c>
      <c r="K84" s="144"/>
      <c r="L84" s="151" t="str">
        <f t="shared" ref="L84" si="641">IF(D84+E84+F84=0,"",HLOOKUP(AM84,U84:Z85,2,TRUE))</f>
        <v/>
      </c>
      <c r="M84" s="152"/>
      <c r="N84" s="153" t="str">
        <f t="shared" ref="N84" si="642">IF($I84="","",N$4*$I84)</f>
        <v/>
      </c>
      <c r="O84" s="153" t="str">
        <f t="shared" si="356"/>
        <v/>
      </c>
      <c r="P84" s="153" t="str">
        <f t="shared" si="356"/>
        <v/>
      </c>
      <c r="Q84" s="153" t="str">
        <f t="shared" si="356"/>
        <v/>
      </c>
      <c r="R84" s="153" t="str">
        <f t="shared" si="356"/>
        <v/>
      </c>
      <c r="S84" s="153" t="str">
        <f t="shared" si="356"/>
        <v/>
      </c>
      <c r="T84" s="154">
        <v>0</v>
      </c>
      <c r="U84" s="155" t="str">
        <f t="shared" ref="U84" si="643">N84</f>
        <v/>
      </c>
      <c r="V84" s="155" t="str">
        <f t="shared" ref="V84" si="644">O84</f>
        <v/>
      </c>
      <c r="W84" s="155" t="str">
        <f t="shared" ref="W84" si="645">P84</f>
        <v/>
      </c>
      <c r="X84" s="155" t="str">
        <f t="shared" ref="X84" si="646">Q84</f>
        <v/>
      </c>
      <c r="Y84" s="155" t="str">
        <f t="shared" ref="Y84" si="647">R84</f>
        <v/>
      </c>
      <c r="Z84" s="155" t="str">
        <f t="shared" ref="Z84" si="648">S84</f>
        <v/>
      </c>
      <c r="AA84" s="156" t="e">
        <f>VLOOKUP(B84,'KAVVV Records &amp; age-grading'!$A$3:$B$28,2,FALSE)</f>
        <v>#N/A</v>
      </c>
      <c r="AB84" s="156"/>
      <c r="AC84" s="157" t="str">
        <f t="shared" ref="AC84" si="649">IF(B84&lt;10,CONCATENATE("0",D84),D84)</f>
        <v>0</v>
      </c>
      <c r="AD84" s="158" t="str">
        <f t="shared" ref="AD84" si="650">IF(E84&lt;10,CONCATENATE("0",E84),E84)</f>
        <v>0</v>
      </c>
      <c r="AE84" s="159" t="str">
        <f t="shared" ref="AE84" si="651">IF(F84&lt;10,CONCATENATE("0",F84),F84)</f>
        <v>0</v>
      </c>
      <c r="AF84" s="157" t="str">
        <f t="shared" ref="AF84" si="652">IF(AD84=0,IF(AE84=0,AC84-1,AC84),AC84)</f>
        <v>0</v>
      </c>
      <c r="AG84" s="158" t="str">
        <f t="shared" ref="AG84" si="653">IF(AE84="00",IF(AD84=0,59,AD84-1),AD84)</f>
        <v>0</v>
      </c>
      <c r="AH84" s="159">
        <f t="shared" ref="AH84" si="654">IF(AE84="00",99,AE84-1)</f>
        <v>-1</v>
      </c>
      <c r="AI84" s="156" t="str">
        <f t="shared" ref="AI84" si="655">IF(AF84&lt;10,CONCATENATE("0",AF84),AF84)</f>
        <v>0</v>
      </c>
      <c r="AJ84" s="160" t="str">
        <f t="shared" ref="AJ84" si="656">IF(AG84&lt;10,CONCATENATE("0",AG84),AG84)</f>
        <v>0</v>
      </c>
      <c r="AK84" s="156" t="str">
        <f t="shared" ref="AK84" si="657">IF(AH84&lt;10,CONCATENATE("0",AH84),AH84)</f>
        <v>0-1</v>
      </c>
      <c r="AL84" s="161" t="str">
        <f t="shared" ref="AL84" si="658">CONCATENATE(AI84,":",AJ84,",",AK84)</f>
        <v>0:0,0-1</v>
      </c>
      <c r="AM84" s="156" t="e">
        <f t="shared" si="525"/>
        <v>#VALUE!</v>
      </c>
    </row>
    <row r="85" spans="2:39" x14ac:dyDescent="0.25">
      <c r="T85" s="138">
        <v>11</v>
      </c>
      <c r="U85" s="138">
        <v>10</v>
      </c>
      <c r="V85" s="138">
        <v>9</v>
      </c>
      <c r="W85" s="138">
        <v>8</v>
      </c>
      <c r="X85" s="138">
        <v>7</v>
      </c>
      <c r="Y85" s="138">
        <v>6</v>
      </c>
      <c r="Z85" s="138">
        <v>5</v>
      </c>
      <c r="AA85" s="162"/>
      <c r="AB85" s="163"/>
      <c r="AC85" s="164"/>
      <c r="AD85" s="165"/>
      <c r="AE85" s="166"/>
      <c r="AF85" s="164"/>
      <c r="AG85" s="165"/>
      <c r="AH85" s="166"/>
      <c r="AI85" s="163"/>
      <c r="AJ85" s="162"/>
      <c r="AK85" s="163"/>
      <c r="AL85" s="167"/>
      <c r="AM85" s="163"/>
    </row>
    <row r="86" spans="2:39" ht="22.8" x14ac:dyDescent="0.25">
      <c r="B86" s="135"/>
      <c r="C86" s="136"/>
      <c r="D86" s="136"/>
      <c r="E86" s="136"/>
      <c r="F86" s="136"/>
      <c r="G86" s="145"/>
      <c r="H86" s="148" t="str">
        <f>IF(C86="","",HLOOKUP(CONCATENATE("M",C86),'KAVVV Records &amp; age-grading'!$C$1:$Q$1,1,TRUE))</f>
        <v/>
      </c>
      <c r="I86" s="149" t="str">
        <f>IF(H86="","",HLOOKUP(H86,'KAVVV Records &amp; age-grading'!$C$1:$P$29,AA86+2,TRUE))</f>
        <v/>
      </c>
      <c r="J86" s="150" t="str">
        <f t="shared" ref="J86" si="659">IF(AC86+AD86+AE86=0,"",CONCATENATE(AC86,":",AD86,",",AE86))</f>
        <v/>
      </c>
      <c r="K86" s="144"/>
      <c r="L86" s="151" t="str">
        <f t="shared" ref="L86" si="660">IF(D86+E86+F86=0,"",HLOOKUP(AM86,U86:Z87,2,TRUE))</f>
        <v/>
      </c>
      <c r="M86" s="152"/>
      <c r="N86" s="153" t="str">
        <f t="shared" ref="N86" si="661">IF($I86="","",N$4*$I86)</f>
        <v/>
      </c>
      <c r="O86" s="153" t="str">
        <f t="shared" si="356"/>
        <v/>
      </c>
      <c r="P86" s="153" t="str">
        <f t="shared" si="356"/>
        <v/>
      </c>
      <c r="Q86" s="153" t="str">
        <f t="shared" si="356"/>
        <v/>
      </c>
      <c r="R86" s="153" t="str">
        <f t="shared" si="356"/>
        <v/>
      </c>
      <c r="S86" s="153" t="str">
        <f t="shared" si="356"/>
        <v/>
      </c>
      <c r="T86" s="154">
        <v>0</v>
      </c>
      <c r="U86" s="155" t="str">
        <f t="shared" ref="U86" si="662">N86</f>
        <v/>
      </c>
      <c r="V86" s="155" t="str">
        <f t="shared" ref="V86" si="663">O86</f>
        <v/>
      </c>
      <c r="W86" s="155" t="str">
        <f t="shared" ref="W86" si="664">P86</f>
        <v/>
      </c>
      <c r="X86" s="155" t="str">
        <f t="shared" ref="X86" si="665">Q86</f>
        <v/>
      </c>
      <c r="Y86" s="155" t="str">
        <f t="shared" ref="Y86" si="666">R86</f>
        <v/>
      </c>
      <c r="Z86" s="155" t="str">
        <f t="shared" ref="Z86" si="667">S86</f>
        <v/>
      </c>
      <c r="AA86" s="156" t="e">
        <f>VLOOKUP(B86,'KAVVV Records &amp; age-grading'!$A$3:$B$28,2,FALSE)</f>
        <v>#N/A</v>
      </c>
      <c r="AB86" s="156"/>
      <c r="AC86" s="157" t="str">
        <f t="shared" ref="AC86" si="668">IF(B86&lt;10,CONCATENATE("0",D86),D86)</f>
        <v>0</v>
      </c>
      <c r="AD86" s="158" t="str">
        <f t="shared" ref="AD86" si="669">IF(E86&lt;10,CONCATENATE("0",E86),E86)</f>
        <v>0</v>
      </c>
      <c r="AE86" s="159" t="str">
        <f t="shared" ref="AE86" si="670">IF(F86&lt;10,CONCATENATE("0",F86),F86)</f>
        <v>0</v>
      </c>
      <c r="AF86" s="157" t="str">
        <f t="shared" ref="AF86" si="671">IF(AD86=0,IF(AE86=0,AC86-1,AC86),AC86)</f>
        <v>0</v>
      </c>
      <c r="AG86" s="158" t="str">
        <f t="shared" ref="AG86" si="672">IF(AE86="00",IF(AD86=0,59,AD86-1),AD86)</f>
        <v>0</v>
      </c>
      <c r="AH86" s="159">
        <f t="shared" ref="AH86" si="673">IF(AE86="00",99,AE86-1)</f>
        <v>-1</v>
      </c>
      <c r="AI86" s="156" t="str">
        <f t="shared" ref="AI86" si="674">IF(AF86&lt;10,CONCATENATE("0",AF86),AF86)</f>
        <v>0</v>
      </c>
      <c r="AJ86" s="160" t="str">
        <f t="shared" ref="AJ86" si="675">IF(AG86&lt;10,CONCATENATE("0",AG86),AG86)</f>
        <v>0</v>
      </c>
      <c r="AK86" s="156" t="str">
        <f t="shared" ref="AK86" si="676">IF(AH86&lt;10,CONCATENATE("0",AH86),AH86)</f>
        <v>0-1</v>
      </c>
      <c r="AL86" s="161" t="str">
        <f t="shared" ref="AL86" si="677">CONCATENATE(AI86,":",AJ86,",",AK86)</f>
        <v>0:0,0-1</v>
      </c>
      <c r="AM86" s="156" t="e">
        <f t="shared" si="525"/>
        <v>#VALUE!</v>
      </c>
    </row>
    <row r="87" spans="2:39" x14ac:dyDescent="0.25">
      <c r="T87" s="138">
        <v>11</v>
      </c>
      <c r="U87" s="138">
        <v>10</v>
      </c>
      <c r="V87" s="138">
        <v>9</v>
      </c>
      <c r="W87" s="138">
        <v>8</v>
      </c>
      <c r="X87" s="138">
        <v>7</v>
      </c>
      <c r="Y87" s="138">
        <v>6</v>
      </c>
      <c r="Z87" s="138">
        <v>5</v>
      </c>
      <c r="AA87" s="162"/>
      <c r="AB87" s="163"/>
      <c r="AC87" s="164"/>
      <c r="AD87" s="165"/>
      <c r="AE87" s="166"/>
      <c r="AF87" s="164"/>
      <c r="AG87" s="165"/>
      <c r="AH87" s="166"/>
      <c r="AI87" s="163"/>
      <c r="AJ87" s="162"/>
      <c r="AK87" s="163"/>
      <c r="AL87" s="167"/>
      <c r="AM87" s="163"/>
    </row>
    <row r="88" spans="2:39" ht="22.8" x14ac:dyDescent="0.25">
      <c r="B88" s="135"/>
      <c r="C88" s="136"/>
      <c r="D88" s="136"/>
      <c r="E88" s="136"/>
      <c r="F88" s="136"/>
      <c r="G88" s="145"/>
      <c r="H88" s="148" t="str">
        <f>IF(C88="","",HLOOKUP(CONCATENATE("M",C88),'KAVVV Records &amp; age-grading'!$C$1:$Q$1,1,TRUE))</f>
        <v/>
      </c>
      <c r="I88" s="149" t="str">
        <f>IF(H88="","",HLOOKUP(H88,'KAVVV Records &amp; age-grading'!$C$1:$P$29,AA88+2,TRUE))</f>
        <v/>
      </c>
      <c r="J88" s="150" t="str">
        <f t="shared" ref="J88" si="678">IF(AC88+AD88+AE88=0,"",CONCATENATE(AC88,":",AD88,",",AE88))</f>
        <v/>
      </c>
      <c r="K88" s="144"/>
      <c r="L88" s="151" t="str">
        <f t="shared" ref="L88" si="679">IF(D88+E88+F88=0,"",HLOOKUP(AM88,U88:Z89,2,TRUE))</f>
        <v/>
      </c>
      <c r="M88" s="152"/>
      <c r="N88" s="153" t="str">
        <f t="shared" ref="N88" si="680">IF($I88="","",N$4*$I88)</f>
        <v/>
      </c>
      <c r="O88" s="153" t="str">
        <f t="shared" si="356"/>
        <v/>
      </c>
      <c r="P88" s="153" t="str">
        <f t="shared" si="356"/>
        <v/>
      </c>
      <c r="Q88" s="153" t="str">
        <f t="shared" si="356"/>
        <v/>
      </c>
      <c r="R88" s="153" t="str">
        <f t="shared" si="356"/>
        <v/>
      </c>
      <c r="S88" s="153" t="str">
        <f t="shared" si="356"/>
        <v/>
      </c>
      <c r="T88" s="154">
        <v>0</v>
      </c>
      <c r="U88" s="155" t="str">
        <f t="shared" ref="U88" si="681">N88</f>
        <v/>
      </c>
      <c r="V88" s="155" t="str">
        <f t="shared" ref="V88" si="682">O88</f>
        <v/>
      </c>
      <c r="W88" s="155" t="str">
        <f t="shared" ref="W88" si="683">P88</f>
        <v/>
      </c>
      <c r="X88" s="155" t="str">
        <f t="shared" ref="X88" si="684">Q88</f>
        <v/>
      </c>
      <c r="Y88" s="155" t="str">
        <f t="shared" ref="Y88" si="685">R88</f>
        <v/>
      </c>
      <c r="Z88" s="155" t="str">
        <f t="shared" ref="Z88" si="686">S88</f>
        <v/>
      </c>
      <c r="AA88" s="156" t="e">
        <f>VLOOKUP(B88,'KAVVV Records &amp; age-grading'!$A$3:$B$28,2,FALSE)</f>
        <v>#N/A</v>
      </c>
      <c r="AB88" s="156"/>
      <c r="AC88" s="157" t="str">
        <f t="shared" ref="AC88" si="687">IF(B88&lt;10,CONCATENATE("0",D88),D88)</f>
        <v>0</v>
      </c>
      <c r="AD88" s="158" t="str">
        <f t="shared" ref="AD88" si="688">IF(E88&lt;10,CONCATENATE("0",E88),E88)</f>
        <v>0</v>
      </c>
      <c r="AE88" s="159" t="str">
        <f t="shared" ref="AE88" si="689">IF(F88&lt;10,CONCATENATE("0",F88),F88)</f>
        <v>0</v>
      </c>
      <c r="AF88" s="157" t="str">
        <f t="shared" ref="AF88" si="690">IF(AD88=0,IF(AE88=0,AC88-1,AC88),AC88)</f>
        <v>0</v>
      </c>
      <c r="AG88" s="158" t="str">
        <f t="shared" ref="AG88" si="691">IF(AE88="00",IF(AD88=0,59,AD88-1),AD88)</f>
        <v>0</v>
      </c>
      <c r="AH88" s="159">
        <f t="shared" ref="AH88" si="692">IF(AE88="00",99,AE88-1)</f>
        <v>-1</v>
      </c>
      <c r="AI88" s="156" t="str">
        <f t="shared" ref="AI88" si="693">IF(AF88&lt;10,CONCATENATE("0",AF88),AF88)</f>
        <v>0</v>
      </c>
      <c r="AJ88" s="160" t="str">
        <f t="shared" ref="AJ88" si="694">IF(AG88&lt;10,CONCATENATE("0",AG88),AG88)</f>
        <v>0</v>
      </c>
      <c r="AK88" s="156" t="str">
        <f t="shared" ref="AK88" si="695">IF(AH88&lt;10,CONCATENATE("0",AH88),AH88)</f>
        <v>0-1</v>
      </c>
      <c r="AL88" s="161" t="str">
        <f t="shared" ref="AL88" si="696">CONCATENATE(AI88,":",AJ88,",",AK88)</f>
        <v>0:0,0-1</v>
      </c>
      <c r="AM88" s="156" t="e">
        <f t="shared" si="525"/>
        <v>#VALUE!</v>
      </c>
    </row>
    <row r="89" spans="2:39" x14ac:dyDescent="0.25">
      <c r="T89" s="138">
        <v>11</v>
      </c>
      <c r="U89" s="138">
        <v>10</v>
      </c>
      <c r="V89" s="138">
        <v>9</v>
      </c>
      <c r="W89" s="138">
        <v>8</v>
      </c>
      <c r="X89" s="138">
        <v>7</v>
      </c>
      <c r="Y89" s="138">
        <v>6</v>
      </c>
      <c r="Z89" s="138">
        <v>5</v>
      </c>
      <c r="AA89" s="162"/>
      <c r="AB89" s="163"/>
      <c r="AC89" s="164"/>
      <c r="AD89" s="165"/>
      <c r="AE89" s="166"/>
      <c r="AF89" s="164"/>
      <c r="AG89" s="165"/>
      <c r="AH89" s="166"/>
      <c r="AI89" s="163"/>
      <c r="AJ89" s="162"/>
      <c r="AK89" s="163"/>
      <c r="AL89" s="167"/>
      <c r="AM89" s="163"/>
    </row>
    <row r="90" spans="2:39" ht="22.8" x14ac:dyDescent="0.25">
      <c r="B90" s="135"/>
      <c r="C90" s="136"/>
      <c r="D90" s="136"/>
      <c r="E90" s="136"/>
      <c r="F90" s="136"/>
      <c r="G90" s="145"/>
      <c r="H90" s="148" t="str">
        <f>IF(C90="","",HLOOKUP(CONCATENATE("M",C90),'KAVVV Records &amp; age-grading'!$C$1:$Q$1,1,TRUE))</f>
        <v/>
      </c>
      <c r="I90" s="149" t="str">
        <f>IF(H90="","",HLOOKUP(H90,'KAVVV Records &amp; age-grading'!$C$1:$P$29,AA90+2,TRUE))</f>
        <v/>
      </c>
      <c r="J90" s="150" t="str">
        <f t="shared" ref="J90" si="697">IF(AC90+AD90+AE90=0,"",CONCATENATE(AC90,":",AD90,",",AE90))</f>
        <v/>
      </c>
      <c r="K90" s="144"/>
      <c r="L90" s="151" t="str">
        <f t="shared" ref="L90" si="698">IF(D90+E90+F90=0,"",HLOOKUP(AM90,U90:Z91,2,TRUE))</f>
        <v/>
      </c>
      <c r="M90" s="152"/>
      <c r="N90" s="153" t="str">
        <f t="shared" ref="N90" si="699">IF($I90="","",N$4*$I90)</f>
        <v/>
      </c>
      <c r="O90" s="153" t="str">
        <f t="shared" si="356"/>
        <v/>
      </c>
      <c r="P90" s="153" t="str">
        <f t="shared" si="356"/>
        <v/>
      </c>
      <c r="Q90" s="153" t="str">
        <f t="shared" si="356"/>
        <v/>
      </c>
      <c r="R90" s="153" t="str">
        <f t="shared" si="356"/>
        <v/>
      </c>
      <c r="S90" s="153" t="str">
        <f t="shared" si="356"/>
        <v/>
      </c>
      <c r="T90" s="154">
        <v>0</v>
      </c>
      <c r="U90" s="155" t="str">
        <f t="shared" ref="U90" si="700">N90</f>
        <v/>
      </c>
      <c r="V90" s="155" t="str">
        <f t="shared" ref="V90" si="701">O90</f>
        <v/>
      </c>
      <c r="W90" s="155" t="str">
        <f t="shared" ref="W90" si="702">P90</f>
        <v/>
      </c>
      <c r="X90" s="155" t="str">
        <f t="shared" ref="X90" si="703">Q90</f>
        <v/>
      </c>
      <c r="Y90" s="155" t="str">
        <f t="shared" ref="Y90" si="704">R90</f>
        <v/>
      </c>
      <c r="Z90" s="155" t="str">
        <f t="shared" ref="Z90" si="705">S90</f>
        <v/>
      </c>
      <c r="AA90" s="156" t="e">
        <f>VLOOKUP(B90,'KAVVV Records &amp; age-grading'!$A$3:$B$28,2,FALSE)</f>
        <v>#N/A</v>
      </c>
      <c r="AB90" s="156"/>
      <c r="AC90" s="157" t="str">
        <f t="shared" ref="AC90" si="706">IF(B90&lt;10,CONCATENATE("0",D90),D90)</f>
        <v>0</v>
      </c>
      <c r="AD90" s="158" t="str">
        <f t="shared" ref="AD90" si="707">IF(E90&lt;10,CONCATENATE("0",E90),E90)</f>
        <v>0</v>
      </c>
      <c r="AE90" s="159" t="str">
        <f t="shared" ref="AE90" si="708">IF(F90&lt;10,CONCATENATE("0",F90),F90)</f>
        <v>0</v>
      </c>
      <c r="AF90" s="157" t="str">
        <f t="shared" ref="AF90" si="709">IF(AD90=0,IF(AE90=0,AC90-1,AC90),AC90)</f>
        <v>0</v>
      </c>
      <c r="AG90" s="158" t="str">
        <f t="shared" ref="AG90" si="710">IF(AE90="00",IF(AD90=0,59,AD90-1),AD90)</f>
        <v>0</v>
      </c>
      <c r="AH90" s="159">
        <f t="shared" ref="AH90" si="711">IF(AE90="00",99,AE90-1)</f>
        <v>-1</v>
      </c>
      <c r="AI90" s="156" t="str">
        <f t="shared" ref="AI90" si="712">IF(AF90&lt;10,CONCATENATE("0",AF90),AF90)</f>
        <v>0</v>
      </c>
      <c r="AJ90" s="160" t="str">
        <f t="shared" ref="AJ90" si="713">IF(AG90&lt;10,CONCATENATE("0",AG90),AG90)</f>
        <v>0</v>
      </c>
      <c r="AK90" s="156" t="str">
        <f t="shared" ref="AK90" si="714">IF(AH90&lt;10,CONCATENATE("0",AH90),AH90)</f>
        <v>0-1</v>
      </c>
      <c r="AL90" s="161" t="str">
        <f t="shared" ref="AL90" si="715">CONCATENATE(AI90,":",AJ90,",",AK90)</f>
        <v>0:0,0-1</v>
      </c>
      <c r="AM90" s="156" t="e">
        <f t="shared" si="525"/>
        <v>#VALUE!</v>
      </c>
    </row>
    <row r="91" spans="2:39" x14ac:dyDescent="0.25">
      <c r="T91" s="138">
        <v>11</v>
      </c>
      <c r="U91" s="138">
        <v>10</v>
      </c>
      <c r="V91" s="138">
        <v>9</v>
      </c>
      <c r="W91" s="138">
        <v>8</v>
      </c>
      <c r="X91" s="138">
        <v>7</v>
      </c>
      <c r="Y91" s="138">
        <v>6</v>
      </c>
      <c r="Z91" s="138">
        <v>5</v>
      </c>
      <c r="AA91" s="162"/>
      <c r="AB91" s="163"/>
      <c r="AC91" s="164"/>
      <c r="AD91" s="165"/>
      <c r="AE91" s="166"/>
      <c r="AF91" s="164"/>
      <c r="AG91" s="165"/>
      <c r="AH91" s="166"/>
      <c r="AI91" s="163"/>
      <c r="AJ91" s="162"/>
      <c r="AK91" s="163"/>
      <c r="AL91" s="167"/>
      <c r="AM91" s="163"/>
    </row>
    <row r="92" spans="2:39" ht="22.8" x14ac:dyDescent="0.25">
      <c r="B92" s="135"/>
      <c r="C92" s="136"/>
      <c r="D92" s="136"/>
      <c r="E92" s="136"/>
      <c r="F92" s="136"/>
      <c r="G92" s="145"/>
      <c r="H92" s="148" t="str">
        <f>IF(C92="","",HLOOKUP(CONCATENATE("M",C92),'KAVVV Records &amp; age-grading'!$C$1:$Q$1,1,TRUE))</f>
        <v/>
      </c>
      <c r="I92" s="149" t="str">
        <f>IF(H92="","",HLOOKUP(H92,'KAVVV Records &amp; age-grading'!$C$1:$P$29,AA92+2,TRUE))</f>
        <v/>
      </c>
      <c r="J92" s="150" t="str">
        <f t="shared" ref="J92" si="716">IF(AC92+AD92+AE92=0,"",CONCATENATE(AC92,":",AD92,",",AE92))</f>
        <v/>
      </c>
      <c r="K92" s="144"/>
      <c r="L92" s="151" t="str">
        <f t="shared" ref="L92" si="717">IF(D92+E92+F92=0,"",HLOOKUP(AM92,U92:Z93,2,TRUE))</f>
        <v/>
      </c>
      <c r="M92" s="152"/>
      <c r="N92" s="153" t="str">
        <f t="shared" ref="N92" si="718">IF($I92="","",N$4*$I92)</f>
        <v/>
      </c>
      <c r="O92" s="153" t="str">
        <f t="shared" si="356"/>
        <v/>
      </c>
      <c r="P92" s="153" t="str">
        <f t="shared" si="356"/>
        <v/>
      </c>
      <c r="Q92" s="153" t="str">
        <f t="shared" si="356"/>
        <v/>
      </c>
      <c r="R92" s="153" t="str">
        <f t="shared" si="356"/>
        <v/>
      </c>
      <c r="S92" s="153" t="str">
        <f t="shared" si="356"/>
        <v/>
      </c>
      <c r="T92" s="154">
        <v>0</v>
      </c>
      <c r="U92" s="155" t="str">
        <f t="shared" ref="U92" si="719">N92</f>
        <v/>
      </c>
      <c r="V92" s="155" t="str">
        <f t="shared" ref="V92" si="720">O92</f>
        <v/>
      </c>
      <c r="W92" s="155" t="str">
        <f t="shared" ref="W92" si="721">P92</f>
        <v/>
      </c>
      <c r="X92" s="155" t="str">
        <f t="shared" ref="X92" si="722">Q92</f>
        <v/>
      </c>
      <c r="Y92" s="155" t="str">
        <f t="shared" ref="Y92" si="723">R92</f>
        <v/>
      </c>
      <c r="Z92" s="155" t="str">
        <f t="shared" ref="Z92" si="724">S92</f>
        <v/>
      </c>
      <c r="AA92" s="156" t="e">
        <f>VLOOKUP(B92,'KAVVV Records &amp; age-grading'!$A$3:$B$28,2,FALSE)</f>
        <v>#N/A</v>
      </c>
      <c r="AB92" s="156"/>
      <c r="AC92" s="157" t="str">
        <f t="shared" ref="AC92" si="725">IF(B92&lt;10,CONCATENATE("0",D92),D92)</f>
        <v>0</v>
      </c>
      <c r="AD92" s="158" t="str">
        <f t="shared" ref="AD92" si="726">IF(E92&lt;10,CONCATENATE("0",E92),E92)</f>
        <v>0</v>
      </c>
      <c r="AE92" s="159" t="str">
        <f t="shared" ref="AE92" si="727">IF(F92&lt;10,CONCATENATE("0",F92),F92)</f>
        <v>0</v>
      </c>
      <c r="AF92" s="157" t="str">
        <f t="shared" ref="AF92" si="728">IF(AD92=0,IF(AE92=0,AC92-1,AC92),AC92)</f>
        <v>0</v>
      </c>
      <c r="AG92" s="158" t="str">
        <f t="shared" ref="AG92" si="729">IF(AE92="00",IF(AD92=0,59,AD92-1),AD92)</f>
        <v>0</v>
      </c>
      <c r="AH92" s="159">
        <f t="shared" ref="AH92" si="730">IF(AE92="00",99,AE92-1)</f>
        <v>-1</v>
      </c>
      <c r="AI92" s="156" t="str">
        <f t="shared" ref="AI92" si="731">IF(AF92&lt;10,CONCATENATE("0",AF92),AF92)</f>
        <v>0</v>
      </c>
      <c r="AJ92" s="160" t="str">
        <f t="shared" ref="AJ92" si="732">IF(AG92&lt;10,CONCATENATE("0",AG92),AG92)</f>
        <v>0</v>
      </c>
      <c r="AK92" s="156" t="str">
        <f t="shared" ref="AK92" si="733">IF(AH92&lt;10,CONCATENATE("0",AH92),AH92)</f>
        <v>0-1</v>
      </c>
      <c r="AL92" s="161" t="str">
        <f t="shared" ref="AL92" si="734">CONCATENATE(AI92,":",AJ92,",",AK92)</f>
        <v>0:0,0-1</v>
      </c>
      <c r="AM92" s="156" t="e">
        <f t="shared" si="525"/>
        <v>#VALUE!</v>
      </c>
    </row>
    <row r="93" spans="2:39" x14ac:dyDescent="0.25">
      <c r="T93" s="138">
        <v>11</v>
      </c>
      <c r="U93" s="138">
        <v>10</v>
      </c>
      <c r="V93" s="138">
        <v>9</v>
      </c>
      <c r="W93" s="138">
        <v>8</v>
      </c>
      <c r="X93" s="138">
        <v>7</v>
      </c>
      <c r="Y93" s="138">
        <v>6</v>
      </c>
      <c r="Z93" s="138">
        <v>5</v>
      </c>
      <c r="AA93" s="162"/>
      <c r="AB93" s="163"/>
      <c r="AC93" s="164"/>
      <c r="AD93" s="165"/>
      <c r="AE93" s="166"/>
      <c r="AF93" s="164"/>
      <c r="AG93" s="165"/>
      <c r="AH93" s="166"/>
      <c r="AI93" s="163"/>
      <c r="AJ93" s="162"/>
      <c r="AK93" s="163"/>
      <c r="AL93" s="167"/>
      <c r="AM93" s="163"/>
    </row>
    <row r="94" spans="2:39" ht="22.8" x14ac:dyDescent="0.25">
      <c r="B94" s="135"/>
      <c r="C94" s="136"/>
      <c r="D94" s="136"/>
      <c r="E94" s="136"/>
      <c r="F94" s="136"/>
      <c r="G94" s="145"/>
      <c r="H94" s="148" t="str">
        <f>IF(C94="","",HLOOKUP(CONCATENATE("M",C94),'KAVVV Records &amp; age-grading'!$C$1:$Q$1,1,TRUE))</f>
        <v/>
      </c>
      <c r="I94" s="149" t="str">
        <f>IF(H94="","",HLOOKUP(H94,'KAVVV Records &amp; age-grading'!$C$1:$P$29,AA94+2,TRUE))</f>
        <v/>
      </c>
      <c r="J94" s="150" t="str">
        <f t="shared" ref="J94" si="735">IF(AC94+AD94+AE94=0,"",CONCATENATE(AC94,":",AD94,",",AE94))</f>
        <v/>
      </c>
      <c r="K94" s="144"/>
      <c r="L94" s="151" t="str">
        <f t="shared" ref="L94" si="736">IF(D94+E94+F94=0,"",HLOOKUP(AM94,U94:Z95,2,TRUE))</f>
        <v/>
      </c>
      <c r="M94" s="152"/>
      <c r="N94" s="153" t="str">
        <f t="shared" ref="N94" si="737">IF($I94="","",N$4*$I94)</f>
        <v/>
      </c>
      <c r="O94" s="153" t="str">
        <f t="shared" si="356"/>
        <v/>
      </c>
      <c r="P94" s="153" t="str">
        <f t="shared" si="356"/>
        <v/>
      </c>
      <c r="Q94" s="153" t="str">
        <f t="shared" si="356"/>
        <v/>
      </c>
      <c r="R94" s="153" t="str">
        <f t="shared" si="356"/>
        <v/>
      </c>
      <c r="S94" s="153" t="str">
        <f t="shared" si="356"/>
        <v/>
      </c>
      <c r="T94" s="154">
        <v>0</v>
      </c>
      <c r="U94" s="155" t="str">
        <f t="shared" ref="U94" si="738">N94</f>
        <v/>
      </c>
      <c r="V94" s="155" t="str">
        <f t="shared" ref="V94" si="739">O94</f>
        <v/>
      </c>
      <c r="W94" s="155" t="str">
        <f t="shared" ref="W94" si="740">P94</f>
        <v/>
      </c>
      <c r="X94" s="155" t="str">
        <f t="shared" ref="X94" si="741">Q94</f>
        <v/>
      </c>
      <c r="Y94" s="155" t="str">
        <f t="shared" ref="Y94" si="742">R94</f>
        <v/>
      </c>
      <c r="Z94" s="155" t="str">
        <f t="shared" ref="Z94" si="743">S94</f>
        <v/>
      </c>
      <c r="AA94" s="156" t="e">
        <f>VLOOKUP(B94,'KAVVV Records &amp; age-grading'!$A$3:$B$28,2,FALSE)</f>
        <v>#N/A</v>
      </c>
      <c r="AB94" s="156"/>
      <c r="AC94" s="157" t="str">
        <f t="shared" ref="AC94" si="744">IF(B94&lt;10,CONCATENATE("0",D94),D94)</f>
        <v>0</v>
      </c>
      <c r="AD94" s="158" t="str">
        <f t="shared" ref="AD94" si="745">IF(E94&lt;10,CONCATENATE("0",E94),E94)</f>
        <v>0</v>
      </c>
      <c r="AE94" s="159" t="str">
        <f t="shared" ref="AE94" si="746">IF(F94&lt;10,CONCATENATE("0",F94),F94)</f>
        <v>0</v>
      </c>
      <c r="AF94" s="157" t="str">
        <f t="shared" ref="AF94" si="747">IF(AD94=0,IF(AE94=0,AC94-1,AC94),AC94)</f>
        <v>0</v>
      </c>
      <c r="AG94" s="158" t="str">
        <f t="shared" ref="AG94" si="748">IF(AE94="00",IF(AD94=0,59,AD94-1),AD94)</f>
        <v>0</v>
      </c>
      <c r="AH94" s="159">
        <f t="shared" ref="AH94" si="749">IF(AE94="00",99,AE94-1)</f>
        <v>-1</v>
      </c>
      <c r="AI94" s="156" t="str">
        <f t="shared" ref="AI94" si="750">IF(AF94&lt;10,CONCATENATE("0",AF94),AF94)</f>
        <v>0</v>
      </c>
      <c r="AJ94" s="160" t="str">
        <f t="shared" ref="AJ94" si="751">IF(AG94&lt;10,CONCATENATE("0",AG94),AG94)</f>
        <v>0</v>
      </c>
      <c r="AK94" s="156" t="str">
        <f t="shared" ref="AK94" si="752">IF(AH94&lt;10,CONCATENATE("0",AH94),AH94)</f>
        <v>0-1</v>
      </c>
      <c r="AL94" s="161" t="str">
        <f t="shared" ref="AL94" si="753">CONCATENATE(AI94,":",AJ94,",",AK94)</f>
        <v>0:0,0-1</v>
      </c>
      <c r="AM94" s="156" t="e">
        <f t="shared" si="525"/>
        <v>#VALUE!</v>
      </c>
    </row>
    <row r="95" spans="2:39" x14ac:dyDescent="0.25">
      <c r="T95" s="138">
        <v>11</v>
      </c>
      <c r="U95" s="138">
        <v>10</v>
      </c>
      <c r="V95" s="138">
        <v>9</v>
      </c>
      <c r="W95" s="138">
        <v>8</v>
      </c>
      <c r="X95" s="138">
        <v>7</v>
      </c>
      <c r="Y95" s="138">
        <v>6</v>
      </c>
      <c r="Z95" s="138">
        <v>5</v>
      </c>
      <c r="AA95" s="162"/>
      <c r="AB95" s="163"/>
      <c r="AC95" s="164"/>
      <c r="AD95" s="165"/>
      <c r="AE95" s="166"/>
      <c r="AF95" s="164"/>
      <c r="AG95" s="165"/>
      <c r="AH95" s="166"/>
      <c r="AI95" s="163"/>
      <c r="AJ95" s="162"/>
      <c r="AK95" s="163"/>
      <c r="AL95" s="167"/>
      <c r="AM95" s="163"/>
    </row>
    <row r="96" spans="2:39" ht="22.8" x14ac:dyDescent="0.25">
      <c r="B96" s="135"/>
      <c r="C96" s="136"/>
      <c r="D96" s="136"/>
      <c r="E96" s="136"/>
      <c r="F96" s="136"/>
      <c r="G96" s="145"/>
      <c r="H96" s="148" t="str">
        <f>IF(C96="","",HLOOKUP(CONCATENATE("M",C96),'KAVVV Records &amp; age-grading'!$C$1:$Q$1,1,TRUE))</f>
        <v/>
      </c>
      <c r="I96" s="149" t="str">
        <f>IF(H96="","",HLOOKUP(H96,'KAVVV Records &amp; age-grading'!$C$1:$P$29,AA96+2,TRUE))</f>
        <v/>
      </c>
      <c r="J96" s="150" t="str">
        <f t="shared" ref="J96" si="754">IF(AC96+AD96+AE96=0,"",CONCATENATE(AC96,":",AD96,",",AE96))</f>
        <v/>
      </c>
      <c r="K96" s="144"/>
      <c r="L96" s="151" t="str">
        <f t="shared" ref="L96" si="755">IF(D96+E96+F96=0,"",HLOOKUP(AM96,U96:Z97,2,TRUE))</f>
        <v/>
      </c>
      <c r="M96" s="152"/>
      <c r="N96" s="153" t="str">
        <f t="shared" ref="N96" si="756">IF($I96="","",N$4*$I96)</f>
        <v/>
      </c>
      <c r="O96" s="153" t="str">
        <f t="shared" si="356"/>
        <v/>
      </c>
      <c r="P96" s="153" t="str">
        <f t="shared" si="356"/>
        <v/>
      </c>
      <c r="Q96" s="153" t="str">
        <f t="shared" si="356"/>
        <v/>
      </c>
      <c r="R96" s="153" t="str">
        <f t="shared" si="356"/>
        <v/>
      </c>
      <c r="S96" s="153" t="str">
        <f t="shared" si="356"/>
        <v/>
      </c>
      <c r="T96" s="154">
        <v>0</v>
      </c>
      <c r="U96" s="155" t="str">
        <f t="shared" ref="U96" si="757">N96</f>
        <v/>
      </c>
      <c r="V96" s="155" t="str">
        <f t="shared" ref="V96" si="758">O96</f>
        <v/>
      </c>
      <c r="W96" s="155" t="str">
        <f t="shared" ref="W96" si="759">P96</f>
        <v/>
      </c>
      <c r="X96" s="155" t="str">
        <f t="shared" ref="X96" si="760">Q96</f>
        <v/>
      </c>
      <c r="Y96" s="155" t="str">
        <f t="shared" ref="Y96" si="761">R96</f>
        <v/>
      </c>
      <c r="Z96" s="155" t="str">
        <f t="shared" ref="Z96" si="762">S96</f>
        <v/>
      </c>
      <c r="AA96" s="156" t="e">
        <f>VLOOKUP(B96,'KAVVV Records &amp; age-grading'!$A$3:$B$28,2,FALSE)</f>
        <v>#N/A</v>
      </c>
      <c r="AB96" s="156"/>
      <c r="AC96" s="157" t="str">
        <f t="shared" ref="AC96" si="763">IF(B96&lt;10,CONCATENATE("0",D96),D96)</f>
        <v>0</v>
      </c>
      <c r="AD96" s="158" t="str">
        <f t="shared" ref="AD96" si="764">IF(E96&lt;10,CONCATENATE("0",E96),E96)</f>
        <v>0</v>
      </c>
      <c r="AE96" s="159" t="str">
        <f t="shared" ref="AE96" si="765">IF(F96&lt;10,CONCATENATE("0",F96),F96)</f>
        <v>0</v>
      </c>
      <c r="AF96" s="157" t="str">
        <f t="shared" ref="AF96" si="766">IF(AD96=0,IF(AE96=0,AC96-1,AC96),AC96)</f>
        <v>0</v>
      </c>
      <c r="AG96" s="158" t="str">
        <f t="shared" ref="AG96" si="767">IF(AE96="00",IF(AD96=0,59,AD96-1),AD96)</f>
        <v>0</v>
      </c>
      <c r="AH96" s="159">
        <f t="shared" ref="AH96" si="768">IF(AE96="00",99,AE96-1)</f>
        <v>-1</v>
      </c>
      <c r="AI96" s="156" t="str">
        <f t="shared" ref="AI96" si="769">IF(AF96&lt;10,CONCATENATE("0",AF96),AF96)</f>
        <v>0</v>
      </c>
      <c r="AJ96" s="160" t="str">
        <f t="shared" ref="AJ96" si="770">IF(AG96&lt;10,CONCATENATE("0",AG96),AG96)</f>
        <v>0</v>
      </c>
      <c r="AK96" s="156" t="str">
        <f t="shared" ref="AK96" si="771">IF(AH96&lt;10,CONCATENATE("0",AH96),AH96)</f>
        <v>0-1</v>
      </c>
      <c r="AL96" s="161" t="str">
        <f t="shared" ref="AL96" si="772">CONCATENATE(AI96,":",AJ96,",",AK96)</f>
        <v>0:0,0-1</v>
      </c>
      <c r="AM96" s="156" t="e">
        <f t="shared" si="525"/>
        <v>#VALUE!</v>
      </c>
    </row>
    <row r="97" spans="2:39" x14ac:dyDescent="0.25">
      <c r="T97" s="138">
        <v>11</v>
      </c>
      <c r="U97" s="138">
        <v>10</v>
      </c>
      <c r="V97" s="138">
        <v>9</v>
      </c>
      <c r="W97" s="138">
        <v>8</v>
      </c>
      <c r="X97" s="138">
        <v>7</v>
      </c>
      <c r="Y97" s="138">
        <v>6</v>
      </c>
      <c r="Z97" s="138">
        <v>5</v>
      </c>
      <c r="AA97" s="162"/>
      <c r="AB97" s="163"/>
      <c r="AC97" s="164"/>
      <c r="AD97" s="165"/>
      <c r="AE97" s="166"/>
      <c r="AF97" s="164"/>
      <c r="AG97" s="165"/>
      <c r="AH97" s="166"/>
      <c r="AI97" s="163"/>
      <c r="AJ97" s="162"/>
      <c r="AK97" s="163"/>
      <c r="AL97" s="167"/>
      <c r="AM97" s="163"/>
    </row>
    <row r="98" spans="2:39" ht="22.8" x14ac:dyDescent="0.25">
      <c r="B98" s="135"/>
      <c r="C98" s="136"/>
      <c r="D98" s="136"/>
      <c r="E98" s="136"/>
      <c r="F98" s="136"/>
      <c r="G98" s="145"/>
      <c r="H98" s="148" t="str">
        <f>IF(C98="","",HLOOKUP(CONCATENATE("M",C98),'KAVVV Records &amp; age-grading'!$C$1:$Q$1,1,TRUE))</f>
        <v/>
      </c>
      <c r="I98" s="149" t="str">
        <f>IF(H98="","",HLOOKUP(H98,'KAVVV Records &amp; age-grading'!$C$1:$P$29,AA98+2,TRUE))</f>
        <v/>
      </c>
      <c r="J98" s="150" t="str">
        <f t="shared" ref="J98" si="773">IF(AC98+AD98+AE98=0,"",CONCATENATE(AC98,":",AD98,",",AE98))</f>
        <v/>
      </c>
      <c r="K98" s="144"/>
      <c r="L98" s="151" t="str">
        <f t="shared" ref="L98" si="774">IF(D98+E98+F98=0,"",HLOOKUP(AM98,U98:Z99,2,TRUE))</f>
        <v/>
      </c>
      <c r="M98" s="152"/>
      <c r="N98" s="153" t="str">
        <f t="shared" ref="N98" si="775">IF($I98="","",N$4*$I98)</f>
        <v/>
      </c>
      <c r="O98" s="153" t="str">
        <f t="shared" si="356"/>
        <v/>
      </c>
      <c r="P98" s="153" t="str">
        <f t="shared" si="356"/>
        <v/>
      </c>
      <c r="Q98" s="153" t="str">
        <f t="shared" si="356"/>
        <v/>
      </c>
      <c r="R98" s="153" t="str">
        <f t="shared" si="356"/>
        <v/>
      </c>
      <c r="S98" s="153" t="str">
        <f t="shared" si="356"/>
        <v/>
      </c>
      <c r="T98" s="154">
        <v>0</v>
      </c>
      <c r="U98" s="155" t="str">
        <f t="shared" ref="U98" si="776">N98</f>
        <v/>
      </c>
      <c r="V98" s="155" t="str">
        <f t="shared" ref="V98" si="777">O98</f>
        <v/>
      </c>
      <c r="W98" s="155" t="str">
        <f t="shared" ref="W98" si="778">P98</f>
        <v/>
      </c>
      <c r="X98" s="155" t="str">
        <f t="shared" ref="X98" si="779">Q98</f>
        <v/>
      </c>
      <c r="Y98" s="155" t="str">
        <f t="shared" ref="Y98" si="780">R98</f>
        <v/>
      </c>
      <c r="Z98" s="155" t="str">
        <f t="shared" ref="Z98" si="781">S98</f>
        <v/>
      </c>
      <c r="AA98" s="156" t="e">
        <f>VLOOKUP(B98,'KAVVV Records &amp; age-grading'!$A$3:$B$28,2,FALSE)</f>
        <v>#N/A</v>
      </c>
      <c r="AB98" s="156"/>
      <c r="AC98" s="157" t="str">
        <f t="shared" ref="AC98" si="782">IF(B98&lt;10,CONCATENATE("0",D98),D98)</f>
        <v>0</v>
      </c>
      <c r="AD98" s="158" t="str">
        <f t="shared" ref="AD98" si="783">IF(E98&lt;10,CONCATENATE("0",E98),E98)</f>
        <v>0</v>
      </c>
      <c r="AE98" s="159" t="str">
        <f t="shared" ref="AE98" si="784">IF(F98&lt;10,CONCATENATE("0",F98),F98)</f>
        <v>0</v>
      </c>
      <c r="AF98" s="157" t="str">
        <f t="shared" ref="AF98" si="785">IF(AD98=0,IF(AE98=0,AC98-1,AC98),AC98)</f>
        <v>0</v>
      </c>
      <c r="AG98" s="158" t="str">
        <f t="shared" ref="AG98" si="786">IF(AE98="00",IF(AD98=0,59,AD98-1),AD98)</f>
        <v>0</v>
      </c>
      <c r="AH98" s="159">
        <f t="shared" ref="AH98" si="787">IF(AE98="00",99,AE98-1)</f>
        <v>-1</v>
      </c>
      <c r="AI98" s="156" t="str">
        <f t="shared" ref="AI98" si="788">IF(AF98&lt;10,CONCATENATE("0",AF98),AF98)</f>
        <v>0</v>
      </c>
      <c r="AJ98" s="160" t="str">
        <f t="shared" ref="AJ98" si="789">IF(AG98&lt;10,CONCATENATE("0",AG98),AG98)</f>
        <v>0</v>
      </c>
      <c r="AK98" s="156" t="str">
        <f t="shared" ref="AK98" si="790">IF(AH98&lt;10,CONCATENATE("0",AH98),AH98)</f>
        <v>0-1</v>
      </c>
      <c r="AL98" s="161" t="str">
        <f t="shared" ref="AL98" si="791">CONCATENATE(AI98,":",AJ98,",",AK98)</f>
        <v>0:0,0-1</v>
      </c>
      <c r="AM98" s="156" t="e">
        <f t="shared" si="525"/>
        <v>#VALUE!</v>
      </c>
    </row>
    <row r="99" spans="2:39" x14ac:dyDescent="0.25">
      <c r="T99" s="138">
        <v>11</v>
      </c>
      <c r="U99" s="138">
        <v>10</v>
      </c>
      <c r="V99" s="138">
        <v>9</v>
      </c>
      <c r="W99" s="138">
        <v>8</v>
      </c>
      <c r="X99" s="138">
        <v>7</v>
      </c>
      <c r="Y99" s="138">
        <v>6</v>
      </c>
      <c r="Z99" s="138">
        <v>5</v>
      </c>
      <c r="AA99" s="162"/>
      <c r="AB99" s="163"/>
      <c r="AC99" s="164"/>
      <c r="AD99" s="165"/>
      <c r="AE99" s="166"/>
      <c r="AF99" s="164"/>
      <c r="AG99" s="165"/>
      <c r="AH99" s="166"/>
      <c r="AI99" s="163"/>
      <c r="AJ99" s="162"/>
      <c r="AK99" s="163"/>
      <c r="AL99" s="167"/>
      <c r="AM99" s="163"/>
    </row>
    <row r="100" spans="2:39" ht="22.8" x14ac:dyDescent="0.25">
      <c r="B100" s="135"/>
      <c r="C100" s="136"/>
      <c r="D100" s="136"/>
      <c r="E100" s="136"/>
      <c r="F100" s="136"/>
      <c r="G100" s="145"/>
      <c r="H100" s="148" t="str">
        <f>IF(C100="","",HLOOKUP(CONCATENATE("M",C100),'KAVVV Records &amp; age-grading'!$C$1:$Q$1,1,TRUE))</f>
        <v/>
      </c>
      <c r="I100" s="149" t="str">
        <f>IF(H100="","",HLOOKUP(H100,'KAVVV Records &amp; age-grading'!$C$1:$P$29,AA100+2,TRUE))</f>
        <v/>
      </c>
      <c r="J100" s="150" t="str">
        <f t="shared" ref="J100" si="792">IF(AC100+AD100+AE100=0,"",CONCATENATE(AC100,":",AD100,",",AE100))</f>
        <v/>
      </c>
      <c r="K100" s="144"/>
      <c r="L100" s="151" t="str">
        <f t="shared" ref="L100" si="793">IF(D100+E100+F100=0,"",HLOOKUP(AM100,U100:Z101,2,TRUE))</f>
        <v/>
      </c>
      <c r="M100" s="152"/>
      <c r="N100" s="153" t="str">
        <f t="shared" ref="N100" si="794">IF($I100="","",N$4*$I100)</f>
        <v/>
      </c>
      <c r="O100" s="153" t="str">
        <f t="shared" si="356"/>
        <v/>
      </c>
      <c r="P100" s="153" t="str">
        <f t="shared" si="356"/>
        <v/>
      </c>
      <c r="Q100" s="153" t="str">
        <f t="shared" si="356"/>
        <v/>
      </c>
      <c r="R100" s="153" t="str">
        <f t="shared" si="356"/>
        <v/>
      </c>
      <c r="S100" s="153" t="str">
        <f t="shared" si="356"/>
        <v/>
      </c>
      <c r="T100" s="154">
        <v>0</v>
      </c>
      <c r="U100" s="155" t="str">
        <f t="shared" ref="U100" si="795">N100</f>
        <v/>
      </c>
      <c r="V100" s="155" t="str">
        <f t="shared" ref="V100" si="796">O100</f>
        <v/>
      </c>
      <c r="W100" s="155" t="str">
        <f t="shared" ref="W100" si="797">P100</f>
        <v/>
      </c>
      <c r="X100" s="155" t="str">
        <f t="shared" ref="X100" si="798">Q100</f>
        <v/>
      </c>
      <c r="Y100" s="155" t="str">
        <f t="shared" ref="Y100" si="799">R100</f>
        <v/>
      </c>
      <c r="Z100" s="155" t="str">
        <f t="shared" ref="Z100" si="800">S100</f>
        <v/>
      </c>
      <c r="AA100" s="156" t="e">
        <f>VLOOKUP(B100,'KAVVV Records &amp; age-grading'!$A$3:$B$28,2,FALSE)</f>
        <v>#N/A</v>
      </c>
      <c r="AB100" s="156"/>
      <c r="AC100" s="157" t="str">
        <f t="shared" ref="AC100" si="801">IF(B100&lt;10,CONCATENATE("0",D100),D100)</f>
        <v>0</v>
      </c>
      <c r="AD100" s="158" t="str">
        <f t="shared" ref="AD100" si="802">IF(E100&lt;10,CONCATENATE("0",E100),E100)</f>
        <v>0</v>
      </c>
      <c r="AE100" s="159" t="str">
        <f t="shared" ref="AE100" si="803">IF(F100&lt;10,CONCATENATE("0",F100),F100)</f>
        <v>0</v>
      </c>
      <c r="AF100" s="157" t="str">
        <f t="shared" ref="AF100" si="804">IF(AD100=0,IF(AE100=0,AC100-1,AC100),AC100)</f>
        <v>0</v>
      </c>
      <c r="AG100" s="158" t="str">
        <f t="shared" ref="AG100" si="805">IF(AE100="00",IF(AD100=0,59,AD100-1),AD100)</f>
        <v>0</v>
      </c>
      <c r="AH100" s="159">
        <f t="shared" ref="AH100" si="806">IF(AE100="00",99,AE100-1)</f>
        <v>-1</v>
      </c>
      <c r="AI100" s="156" t="str">
        <f t="shared" ref="AI100" si="807">IF(AF100&lt;10,CONCATENATE("0",AF100),AF100)</f>
        <v>0</v>
      </c>
      <c r="AJ100" s="160" t="str">
        <f t="shared" ref="AJ100" si="808">IF(AG100&lt;10,CONCATENATE("0",AG100),AG100)</f>
        <v>0</v>
      </c>
      <c r="AK100" s="156" t="str">
        <f t="shared" ref="AK100" si="809">IF(AH100&lt;10,CONCATENATE("0",AH100),AH100)</f>
        <v>0-1</v>
      </c>
      <c r="AL100" s="161" t="str">
        <f t="shared" ref="AL100" si="810">CONCATENATE(AI100,":",AJ100,",",AK100)</f>
        <v>0:0,0-1</v>
      </c>
      <c r="AM100" s="156" t="e">
        <f t="shared" si="525"/>
        <v>#VALUE!</v>
      </c>
    </row>
    <row r="101" spans="2:39" x14ac:dyDescent="0.25">
      <c r="T101" s="138">
        <v>11</v>
      </c>
      <c r="U101" s="138">
        <v>10</v>
      </c>
      <c r="V101" s="138">
        <v>9</v>
      </c>
      <c r="W101" s="138">
        <v>8</v>
      </c>
      <c r="X101" s="138">
        <v>7</v>
      </c>
      <c r="Y101" s="138">
        <v>6</v>
      </c>
      <c r="Z101" s="138">
        <v>5</v>
      </c>
      <c r="AA101" s="162"/>
      <c r="AB101" s="163"/>
      <c r="AC101" s="164"/>
      <c r="AD101" s="165"/>
      <c r="AE101" s="166"/>
      <c r="AF101" s="164"/>
      <c r="AG101" s="165"/>
      <c r="AH101" s="166"/>
      <c r="AI101" s="163"/>
      <c r="AJ101" s="162"/>
      <c r="AK101" s="163"/>
      <c r="AL101" s="167"/>
      <c r="AM101" s="163"/>
    </row>
  </sheetData>
  <sheetProtection algorithmName="SHA-512" hashValue="8QJT8kdFLWfqqY6ObsFhj+NlL2SQqmjWWRi4WbDO8bHqacd6PY3YLSh8J33Kto1MPHoXZD5AUmK5iErbyBdb6Q==" saltValue="j7AW7XQm36hXydoVWNJ09Q==" spinCount="100000" sheet="1" objects="1" scenarios="1"/>
  <dataValidations xWindow="237" yWindow="805" count="3">
    <dataValidation type="whole" allowBlank="1" showInputMessage="1" showErrorMessage="1" errorTitle="Vul in" error="Vul een waarde in van 17 tot 90 of laat dit veld leeg," promptTitle="Vul in" prompt="Vul een waarde in van 17 tot 90 of laat dit veld leeg," sqref="C6 C8 C10 C12 C14 C16 C18 C20 C22 C24 C26 C28 C30 C32 C34 C36 C38 C40 C42 C44 C46 C48 C50 C52 C54 C56 C58 C60 C62 C64 C66 C68 C70 C72 C74 C76 C78 C80 C82 C84 C86 C88 C90 C92 C94 C96 C98 C100" xr:uid="{89499A7C-ED72-4BFB-866F-3B40294C84E9}">
      <formula1>17</formula1>
      <formula2>90</formula2>
    </dataValidation>
    <dataValidation type="whole" allowBlank="1" showInputMessage="1" showErrorMessage="1" errorTitle="Vil in" error="Vul een waarde in van 0 tot 59 of laat dit veld leeg," promptTitle="Vul in" prompt="Vul een waarde in van 0 tot 59 of laat dit veld leeg," sqref="E6 E8 E10 E12 E14 E16 E18 E20 E22 E24 E26 E28 E30 E32 E34 E36 E38 E40 E42 E44 E46 E48 E50 E52 E54 E56 E58 E60 E62 E64 E66 E68 E70 E72 E74 E76 E78 E80 E82 E84 E86 E88 E90 E92 E94 E96 E98 E100" xr:uid="{4745E8AB-2EAA-411A-A2C9-F30A754B1774}">
      <formula1>0</formula1>
      <formula2>59</formula2>
    </dataValidation>
    <dataValidation type="whole" allowBlank="1" showInputMessage="1" showErrorMessage="1" errorTitle="Vul in" error="Vul een waarde in van 0 tot 99 of laat dit veld leeg," promptTitle="Vul in" prompt="Vul een waarde in van 0 tot 99 of laat dit veld leeg," sqref="D6 F6 D8 F8 D10 F10 D12 F12 D14 F14 D16 F16 D18 F18 D20 F20 D22 D24 D26 D28 D30 D32 D34 D36 D38 D40 D42 D44 D46 D48 D50 D52 D54 D56 D58 D60 D62 D64 D66 D68 D70 D72 D74 D76 D78 D80 D82 D84 D86 D88 D90 D92 D94 D96 D98 D100 F22 F24 F26 F28 F30 F32 F34 F36 F38 F40 F42 F44 F46 F48 F50 F52 F54 F56 F58 F60 F62 F64 F66 F68 F70 F72 F74 F76 F78 F80 F82 F84 F86 F88 F90 F92 F94 F96 F98 F100" xr:uid="{96CAFEF8-A8C9-4A18-837D-E6C42D842B1D}">
      <formula1>0</formula1>
      <formula2>99</formula2>
    </dataValidation>
  </dataValidations>
  <pageMargins left="0.7" right="0.7" top="0.75" bottom="0.75" header="0.3" footer="0.3"/>
  <pageSetup paperSize="9" scale="68" fitToHeight="0" orientation="landscape" r:id="rId1"/>
  <drawing r:id="rId2"/>
  <extLst>
    <ext xmlns:x14="http://schemas.microsoft.com/office/spreadsheetml/2009/9/main" uri="{CCE6A557-97BC-4b89-ADB6-D9C93CAAB3DF}">
      <x14:dataValidations xmlns:xm="http://schemas.microsoft.com/office/excel/2006/main" xWindow="237" yWindow="805" count="1">
        <x14:dataValidation type="list" allowBlank="1" showInputMessage="1" showErrorMessage="1" errorTitle="Tik in of kies uit lijst" error="Tik een geldige discipline in of kies uit lijst via het grijze pijltje achter het veld" promptTitle="Tik in of kies uit lijst" prompt="Tik een geldige discipline in of kies uit lijst via het grijze pijltje achter het veld" xr:uid="{3D8A6B10-6F39-485D-BC96-17B75FD56C54}">
          <x14:formula1>
            <xm:f>'KAVVV Records &amp; age-grading'!$A$3:$A$22</xm:f>
          </x14:formula1>
          <xm:sqref>B6 B8 B16 B18 B20 B10 B12 B14 B100 B22 B24 B26 B30 B32 B34 B36 B38 B40 B42 B44 B46 B48 B50 B52 B54 B56 B58 B60 B62 B64 B66 B68 B70 B72 B74 B76 B78 B80 B82 B84 B86 B88 B90 B92 B94 B96 B98 B28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63318-F9D9-4FA1-8491-B9442BBB6D3D}">
  <dimension ref="A1:AF70"/>
  <sheetViews>
    <sheetView workbookViewId="0">
      <pane xSplit="1" ySplit="2" topLeftCell="B3" activePane="bottomRight" state="frozen"/>
      <selection activeCell="C31" sqref="C31"/>
      <selection pane="topRight" activeCell="C31" sqref="C31"/>
      <selection pane="bottomLeft" activeCell="C31" sqref="C31"/>
      <selection pane="bottomRight" activeCell="I10" sqref="I10"/>
    </sheetView>
  </sheetViews>
  <sheetFormatPr defaultRowHeight="13.2" x14ac:dyDescent="0.25"/>
  <cols>
    <col min="1" max="1" width="26.77734375" customWidth="1"/>
    <col min="2" max="2" width="12.77734375" style="6" bestFit="1" customWidth="1"/>
    <col min="3" max="3" width="10.77734375" style="15" customWidth="1"/>
    <col min="4" max="4" width="10.5546875" style="6" bestFit="1" customWidth="1"/>
    <col min="5" max="9" width="8.88671875" style="6"/>
    <col min="10" max="13" width="10.6640625" style="6" bestFit="1" customWidth="1"/>
    <col min="14" max="16" width="10.77734375" style="6" bestFit="1" customWidth="1"/>
    <col min="17" max="17" width="8.88671875" style="175"/>
    <col min="18" max="18" width="15.77734375" style="171" bestFit="1" customWidth="1"/>
  </cols>
  <sheetData>
    <row r="1" spans="1:32" s="102" customFormat="1" ht="13.8" thickBot="1" x14ac:dyDescent="0.3">
      <c r="A1" t="s">
        <v>281</v>
      </c>
      <c r="B1" s="103" t="s">
        <v>315</v>
      </c>
      <c r="C1" s="104" t="s">
        <v>374</v>
      </c>
      <c r="D1" s="103" t="s">
        <v>233</v>
      </c>
      <c r="E1" s="103" t="s">
        <v>232</v>
      </c>
      <c r="F1" s="103" t="s">
        <v>234</v>
      </c>
      <c r="G1" s="103" t="s">
        <v>235</v>
      </c>
      <c r="H1" s="103" t="s">
        <v>236</v>
      </c>
      <c r="I1" s="103" t="s">
        <v>237</v>
      </c>
      <c r="J1" s="103" t="s">
        <v>238</v>
      </c>
      <c r="K1" s="103" t="s">
        <v>239</v>
      </c>
      <c r="L1" s="103" t="s">
        <v>240</v>
      </c>
      <c r="M1" s="103" t="s">
        <v>241</v>
      </c>
      <c r="N1" s="103" t="s">
        <v>242</v>
      </c>
      <c r="O1" s="103" t="s">
        <v>288</v>
      </c>
      <c r="P1" s="103" t="s">
        <v>289</v>
      </c>
      <c r="Q1" s="172"/>
      <c r="R1" s="168"/>
      <c r="S1" s="103" t="s">
        <v>290</v>
      </c>
      <c r="T1" s="103" t="s">
        <v>233</v>
      </c>
      <c r="U1" s="103" t="s">
        <v>232</v>
      </c>
      <c r="V1" s="103" t="s">
        <v>234</v>
      </c>
      <c r="W1" s="103" t="s">
        <v>235</v>
      </c>
      <c r="X1" s="103" t="s">
        <v>236</v>
      </c>
      <c r="Y1" s="103" t="s">
        <v>237</v>
      </c>
      <c r="Z1" s="103" t="s">
        <v>238</v>
      </c>
      <c r="AA1" s="103" t="s">
        <v>239</v>
      </c>
      <c r="AB1" s="103" t="s">
        <v>240</v>
      </c>
      <c r="AC1" s="103" t="s">
        <v>241</v>
      </c>
      <c r="AD1" s="103" t="s">
        <v>242</v>
      </c>
      <c r="AE1" s="103" t="s">
        <v>288</v>
      </c>
      <c r="AF1" s="103" t="s">
        <v>289</v>
      </c>
    </row>
    <row r="2" spans="1:32" s="6" customFormat="1" ht="13.8" thickBot="1" x14ac:dyDescent="0.3">
      <c r="A2" s="107" t="s">
        <v>337</v>
      </c>
      <c r="B2" s="78"/>
      <c r="C2" s="15" t="s">
        <v>375</v>
      </c>
      <c r="D2" s="6" t="s">
        <v>323</v>
      </c>
      <c r="E2" s="6" t="s">
        <v>324</v>
      </c>
      <c r="F2" s="6" t="s">
        <v>325</v>
      </c>
      <c r="G2" s="6" t="s">
        <v>326</v>
      </c>
      <c r="H2" s="6" t="s">
        <v>327</v>
      </c>
      <c r="I2" s="6" t="s">
        <v>328</v>
      </c>
      <c r="J2" s="6" t="s">
        <v>329</v>
      </c>
      <c r="K2" s="6" t="s">
        <v>330</v>
      </c>
      <c r="L2" s="6" t="s">
        <v>331</v>
      </c>
      <c r="M2" s="6" t="s">
        <v>332</v>
      </c>
      <c r="N2" s="6" t="s">
        <v>333</v>
      </c>
      <c r="O2" s="6" t="s">
        <v>334</v>
      </c>
      <c r="P2" s="6" t="s">
        <v>335</v>
      </c>
      <c r="Q2" s="173"/>
      <c r="R2" s="169"/>
      <c r="S2" s="6" t="s">
        <v>323</v>
      </c>
      <c r="T2" s="6" t="s">
        <v>324</v>
      </c>
      <c r="U2" s="6" t="s">
        <v>325</v>
      </c>
      <c r="V2" s="6" t="s">
        <v>326</v>
      </c>
      <c r="W2" s="6" t="s">
        <v>327</v>
      </c>
      <c r="X2" s="6" t="s">
        <v>328</v>
      </c>
      <c r="Y2" s="6" t="s">
        <v>329</v>
      </c>
      <c r="Z2" s="6" t="s">
        <v>330</v>
      </c>
      <c r="AA2" s="6" t="s">
        <v>331</v>
      </c>
      <c r="AB2" s="6" t="s">
        <v>332</v>
      </c>
      <c r="AC2" s="6" t="s">
        <v>333</v>
      </c>
      <c r="AD2" s="6" t="s">
        <v>334</v>
      </c>
      <c r="AE2" s="6" t="s">
        <v>335</v>
      </c>
    </row>
    <row r="3" spans="1:32" ht="15" thickBot="1" x14ac:dyDescent="0.35">
      <c r="A3" s="21" t="s">
        <v>245</v>
      </c>
      <c r="B3" s="79">
        <v>1</v>
      </c>
      <c r="C3" s="105">
        <v>1.244212962962963E-4</v>
      </c>
      <c r="D3" s="77">
        <f>IF(T3&gt;0,$C3/T3,"")</f>
        <v>1.2990321183576562E-4</v>
      </c>
      <c r="E3" s="77">
        <f t="shared" ref="E3:E28" si="0">IF(U3&gt;0,$C3/U3,"")</f>
        <v>1.3397361504931227E-4</v>
      </c>
      <c r="F3" s="77">
        <f t="shared" ref="F3:F28" si="1">IF(V3&gt;0,$C3/V3,"")</f>
        <v>1.3830735470908882E-4</v>
      </c>
      <c r="G3" s="77">
        <f t="shared" ref="G3:G28" si="2">IF(W3&gt;0,$C3/W3,"")</f>
        <v>1.4293084008764652E-4</v>
      </c>
      <c r="H3" s="77">
        <f t="shared" ref="H3:H28" si="3">IF(X3&gt;0,$C3/X3,"")</f>
        <v>1.4787413393902579E-4</v>
      </c>
      <c r="I3" s="77">
        <f t="shared" ref="I3:I28" si="4">IF(Y3&gt;0,$C3/Y3,"")</f>
        <v>1.5339822006694157E-4</v>
      </c>
      <c r="J3" s="77">
        <f t="shared" ref="J3:J28" si="5">IF(Z3&gt;0,$C3/Z3,"")</f>
        <v>1.5988344422551568E-4</v>
      </c>
      <c r="K3" s="77">
        <f t="shared" ref="K3:K28" si="6">IF(AA3&gt;0,$C3/AA3,"")</f>
        <v>1.6793264448143651E-4</v>
      </c>
      <c r="L3" s="77">
        <f t="shared" ref="L3:L28" si="7">IF(AB3&gt;0,$C3/AB3,"")</f>
        <v>1.7858661733356724E-4</v>
      </c>
      <c r="M3" s="77">
        <f t="shared" ref="M3:M28" si="8">IF(AC3&gt;0,$C3/AC3,"")</f>
        <v>1.9371212252264721E-4</v>
      </c>
      <c r="N3" s="77">
        <f t="shared" ref="N3:N28" si="9">IF(AD3&gt;0,$C3/AD3,"")</f>
        <v>2.1695082178953149E-4</v>
      </c>
      <c r="O3" s="77">
        <f t="shared" ref="O3:O28" si="10">IF(AE3&gt;0,$C3/AE3,"")</f>
        <v>2.5653875525009548E-4</v>
      </c>
      <c r="P3" s="77">
        <f t="shared" ref="P3:P28" si="11">IF(AF3&gt;0,$C3/AF3,"")</f>
        <v>4.5492247274697001E-4</v>
      </c>
      <c r="Q3" s="174"/>
      <c r="R3" s="170" t="s">
        <v>245</v>
      </c>
      <c r="S3" s="74">
        <v>0.9869</v>
      </c>
      <c r="T3" s="74">
        <v>0.95779999999999998</v>
      </c>
      <c r="U3" s="74">
        <v>0.92869999999999997</v>
      </c>
      <c r="V3" s="74">
        <v>0.89959999999999996</v>
      </c>
      <c r="W3" s="74">
        <v>0.87050000000000005</v>
      </c>
      <c r="X3" s="74">
        <v>0.84140000000000004</v>
      </c>
      <c r="Y3" s="74">
        <v>0.81110000000000004</v>
      </c>
      <c r="Z3" s="74">
        <v>0.7782</v>
      </c>
      <c r="AA3" s="74">
        <v>0.7409</v>
      </c>
      <c r="AB3" s="74">
        <v>0.69669999999999999</v>
      </c>
      <c r="AC3" s="74">
        <v>0.64229999999999998</v>
      </c>
      <c r="AD3" s="74">
        <v>0.57350000000000001</v>
      </c>
      <c r="AE3" s="74">
        <v>0.48499999999999999</v>
      </c>
      <c r="AF3" s="74">
        <v>0.27350000000000002</v>
      </c>
    </row>
    <row r="4" spans="1:32" ht="13.8" thickBot="1" x14ac:dyDescent="0.3">
      <c r="A4" s="21" t="s">
        <v>279</v>
      </c>
      <c r="B4" s="79">
        <v>2</v>
      </c>
      <c r="C4" s="105">
        <v>1.9039351851851853E-4</v>
      </c>
      <c r="D4" s="77">
        <f t="shared" ref="D4:D28" si="12">IF(T4&gt;0,$C4/T4,"")</f>
        <v>1.9921891652037097E-4</v>
      </c>
      <c r="E4" s="77">
        <f t="shared" si="0"/>
        <v>2.0558634976624397E-4</v>
      </c>
      <c r="F4" s="77">
        <f t="shared" si="1"/>
        <v>2.1237425378529674E-4</v>
      </c>
      <c r="G4" s="77">
        <f t="shared" si="2"/>
        <v>2.1962569906392725E-4</v>
      </c>
      <c r="H4" s="77">
        <f t="shared" si="3"/>
        <v>2.2738984655263169E-4</v>
      </c>
      <c r="I4" s="77">
        <f t="shared" si="4"/>
        <v>2.3624955766040267E-4</v>
      </c>
      <c r="J4" s="77">
        <f t="shared" si="5"/>
        <v>2.4687956239434456E-4</v>
      </c>
      <c r="K4" s="77">
        <f t="shared" si="6"/>
        <v>2.6038500891482289E-4</v>
      </c>
      <c r="L4" s="77">
        <f t="shared" si="7"/>
        <v>2.786790376442016E-4</v>
      </c>
      <c r="M4" s="77">
        <f t="shared" si="8"/>
        <v>3.0526457995593806E-4</v>
      </c>
      <c r="N4" s="77">
        <f t="shared" si="9"/>
        <v>3.4724333123931886E-4</v>
      </c>
      <c r="O4" s="77">
        <f t="shared" si="10"/>
        <v>4.2164437718639913E-4</v>
      </c>
      <c r="P4" s="77">
        <f t="shared" si="11"/>
        <v>7.047696410087675E-4</v>
      </c>
      <c r="Q4" s="174"/>
      <c r="R4" s="171" t="s">
        <v>279</v>
      </c>
      <c r="S4" s="48">
        <f t="shared" ref="S4:AF4" si="13">(S3+S5)/2</f>
        <v>0.98530000000000006</v>
      </c>
      <c r="T4" s="48">
        <f t="shared" si="13"/>
        <v>0.95569999999999999</v>
      </c>
      <c r="U4" s="48">
        <f t="shared" si="13"/>
        <v>0.92609999999999992</v>
      </c>
      <c r="V4" s="48">
        <f t="shared" si="13"/>
        <v>0.89649999999999996</v>
      </c>
      <c r="W4" s="48">
        <f t="shared" si="13"/>
        <v>0.8669</v>
      </c>
      <c r="X4" s="48">
        <f t="shared" si="13"/>
        <v>0.83730000000000004</v>
      </c>
      <c r="Y4" s="48">
        <f t="shared" si="13"/>
        <v>0.80590000000000006</v>
      </c>
      <c r="Z4" s="48">
        <f t="shared" si="13"/>
        <v>0.7712</v>
      </c>
      <c r="AA4" s="48">
        <f t="shared" si="13"/>
        <v>0.73120000000000007</v>
      </c>
      <c r="AB4" s="48">
        <f t="shared" si="13"/>
        <v>0.68320000000000003</v>
      </c>
      <c r="AC4" s="48">
        <f t="shared" si="13"/>
        <v>0.62369999999999992</v>
      </c>
      <c r="AD4" s="48">
        <f t="shared" si="13"/>
        <v>0.54830000000000001</v>
      </c>
      <c r="AE4" s="48">
        <f t="shared" si="13"/>
        <v>0.45155000000000001</v>
      </c>
      <c r="AF4" s="48">
        <f t="shared" si="13"/>
        <v>0.27015</v>
      </c>
    </row>
    <row r="5" spans="1:32" ht="15" thickBot="1" x14ac:dyDescent="0.35">
      <c r="A5" s="21" t="s">
        <v>246</v>
      </c>
      <c r="B5" s="79">
        <v>3</v>
      </c>
      <c r="C5" s="105">
        <v>2.5520833333333336E-4</v>
      </c>
      <c r="D5" s="77">
        <f t="shared" si="12"/>
        <v>2.6762618847874723E-4</v>
      </c>
      <c r="E5" s="77">
        <f t="shared" si="0"/>
        <v>2.7634903447031224E-4</v>
      </c>
      <c r="F5" s="77">
        <f t="shared" si="1"/>
        <v>2.8565965226475638E-4</v>
      </c>
      <c r="G5" s="77">
        <f t="shared" si="2"/>
        <v>2.9561952198926605E-4</v>
      </c>
      <c r="H5" s="77">
        <f t="shared" si="3"/>
        <v>3.0629900784125461E-4</v>
      </c>
      <c r="I5" s="77">
        <f t="shared" si="4"/>
        <v>3.1873152658090843E-4</v>
      </c>
      <c r="J5" s="77">
        <f t="shared" si="5"/>
        <v>3.3395489836866442E-4</v>
      </c>
      <c r="K5" s="77">
        <f t="shared" si="6"/>
        <v>3.5371910371910373E-4</v>
      </c>
      <c r="L5" s="77">
        <f t="shared" si="7"/>
        <v>3.810785924045593E-4</v>
      </c>
      <c r="M5" s="77">
        <f t="shared" si="8"/>
        <v>4.2176224315540136E-4</v>
      </c>
      <c r="N5" s="77">
        <f t="shared" si="9"/>
        <v>4.8787676033900469E-4</v>
      </c>
      <c r="O5" s="77">
        <f t="shared" si="10"/>
        <v>6.1040022323208167E-4</v>
      </c>
      <c r="P5" s="77">
        <f t="shared" si="11"/>
        <v>9.565529735132436E-4</v>
      </c>
      <c r="Q5" s="174"/>
      <c r="R5" s="170" t="s">
        <v>246</v>
      </c>
      <c r="S5" s="74">
        <v>0.98370000000000002</v>
      </c>
      <c r="T5" s="74">
        <v>0.9536</v>
      </c>
      <c r="U5" s="74">
        <v>0.92349999999999999</v>
      </c>
      <c r="V5" s="74">
        <v>0.89339999999999997</v>
      </c>
      <c r="W5" s="74">
        <v>0.86329999999999996</v>
      </c>
      <c r="X5" s="74">
        <v>0.83320000000000005</v>
      </c>
      <c r="Y5" s="74">
        <v>0.80069999999999997</v>
      </c>
      <c r="Z5" s="74">
        <v>0.76419999999999999</v>
      </c>
      <c r="AA5" s="74">
        <v>0.72150000000000003</v>
      </c>
      <c r="AB5" s="74">
        <v>0.66969999999999996</v>
      </c>
      <c r="AC5" s="74">
        <v>0.60509999999999997</v>
      </c>
      <c r="AD5" s="74">
        <v>0.52310000000000001</v>
      </c>
      <c r="AE5" s="74">
        <v>0.41810000000000003</v>
      </c>
      <c r="AF5" s="74">
        <v>0.26679999999999998</v>
      </c>
    </row>
    <row r="6" spans="1:32" ht="15" thickBot="1" x14ac:dyDescent="0.35">
      <c r="A6" s="21" t="s">
        <v>283</v>
      </c>
      <c r="B6" s="79">
        <v>4</v>
      </c>
      <c r="C6" s="105">
        <v>4.1504629629629633E-4</v>
      </c>
      <c r="D6" s="77">
        <f>IF(T6&gt;0,$C6/T6,"")</f>
        <v>4.3943493519989023E-4</v>
      </c>
      <c r="E6" s="77">
        <f t="shared" ref="E6" si="14">IF(U6&gt;0,$C6/U6,"")</f>
        <v>4.5387533085056191E-4</v>
      </c>
      <c r="F6" s="77">
        <f t="shared" ref="F6" si="15">IF(V6&gt;0,$C6/V6,"")</f>
        <v>4.6929703335175981E-4</v>
      </c>
      <c r="G6" s="77">
        <f t="shared" ref="G6" si="16">IF(W6&gt;0,$C6/W6,"")</f>
        <v>4.8580358903996766E-4</v>
      </c>
      <c r="H6" s="77">
        <f t="shared" ref="H6" si="17">IF(X6&gt;0,$C6/X6,"")</f>
        <v>5.0351364345055968E-4</v>
      </c>
      <c r="I6" s="77">
        <f t="shared" ref="I6" si="18">IF(Y6&gt;0,$C6/Y6,"")</f>
        <v>5.2394912112137401E-4</v>
      </c>
      <c r="J6" s="77">
        <f t="shared" ref="J6" si="19">IF(Z6&gt;0,$C6/Z6,"")</f>
        <v>5.4965739146642346E-4</v>
      </c>
      <c r="K6" s="77">
        <f t="shared" ref="K6" si="20">IF(AA6&gt;0,$C6/AA6,"")</f>
        <v>5.8461341826367532E-4</v>
      </c>
      <c r="L6" s="77">
        <f t="shared" ref="L6" si="21">IF(AB6&gt;0,$C6/AB6,"")</f>
        <v>6.3559922863138795E-4</v>
      </c>
      <c r="M6" s="77">
        <f t="shared" ref="M6" si="22">IF(AC6&gt;0,$C6/AC6,"")</f>
        <v>7.1565875730027824E-4</v>
      </c>
      <c r="N6" s="77">
        <f t="shared" ref="N6" si="23">IF(AD6&gt;0,$C6/AD6,"")</f>
        <v>8.5435631184910732E-4</v>
      </c>
      <c r="O6" s="77">
        <f t="shared" ref="O6" si="24">IF(AE6&gt;0,$C6/AE6,"")</f>
        <v>1.1378925189754526E-3</v>
      </c>
      <c r="P6" s="77">
        <f t="shared" ref="P6" si="25">IF(AF6&gt;0,$C6/AF6,"")</f>
        <v>1.6159092711555238E-3</v>
      </c>
      <c r="Q6" s="174"/>
      <c r="R6" s="170" t="s">
        <v>295</v>
      </c>
      <c r="S6" s="48">
        <f t="shared" ref="S6:AF6" si="26">(S5+S7)/2</f>
        <v>0.97455000000000003</v>
      </c>
      <c r="T6" s="48">
        <f t="shared" si="26"/>
        <v>0.94450000000000001</v>
      </c>
      <c r="U6" s="48">
        <f t="shared" si="26"/>
        <v>0.91444999999999999</v>
      </c>
      <c r="V6" s="48">
        <f t="shared" si="26"/>
        <v>0.88439999999999996</v>
      </c>
      <c r="W6" s="48">
        <f t="shared" si="26"/>
        <v>0.85434999999999994</v>
      </c>
      <c r="X6" s="48">
        <f t="shared" si="26"/>
        <v>0.82430000000000003</v>
      </c>
      <c r="Y6" s="48">
        <f t="shared" si="26"/>
        <v>0.79214999999999991</v>
      </c>
      <c r="Z6" s="48">
        <f t="shared" si="26"/>
        <v>0.75509999999999999</v>
      </c>
      <c r="AA6" s="48">
        <f t="shared" si="26"/>
        <v>0.70995000000000008</v>
      </c>
      <c r="AB6" s="48">
        <f t="shared" si="26"/>
        <v>0.65300000000000002</v>
      </c>
      <c r="AC6" s="48">
        <f t="shared" si="26"/>
        <v>0.57994999999999997</v>
      </c>
      <c r="AD6" s="48">
        <f t="shared" si="26"/>
        <v>0.48580000000000001</v>
      </c>
      <c r="AE6" s="48">
        <f t="shared" si="26"/>
        <v>0.36475000000000002</v>
      </c>
      <c r="AF6" s="48">
        <f t="shared" si="26"/>
        <v>0.25685000000000002</v>
      </c>
    </row>
    <row r="7" spans="1:32" ht="15" thickBot="1" x14ac:dyDescent="0.35">
      <c r="A7" s="21" t="s">
        <v>247</v>
      </c>
      <c r="B7" s="79">
        <v>5</v>
      </c>
      <c r="C7" s="105">
        <v>5.7870370370370378E-4</v>
      </c>
      <c r="D7" s="77">
        <f t="shared" si="12"/>
        <v>6.1866977090410918E-4</v>
      </c>
      <c r="E7" s="77">
        <f t="shared" si="0"/>
        <v>6.3916910062260192E-4</v>
      </c>
      <c r="F7" s="77">
        <f t="shared" si="1"/>
        <v>6.6107345636703659E-4</v>
      </c>
      <c r="G7" s="77">
        <f t="shared" si="2"/>
        <v>6.8453241507417052E-4</v>
      </c>
      <c r="H7" s="77">
        <f t="shared" si="3"/>
        <v>7.0971756647498618E-4</v>
      </c>
      <c r="I7" s="77">
        <f t="shared" si="4"/>
        <v>7.3851927476225601E-4</v>
      </c>
      <c r="J7" s="77">
        <f t="shared" si="5"/>
        <v>7.7574223016582276E-4</v>
      </c>
      <c r="K7" s="77">
        <f t="shared" si="6"/>
        <v>8.2861355054940399E-4</v>
      </c>
      <c r="L7" s="77">
        <f t="shared" si="7"/>
        <v>9.0948248263979855E-4</v>
      </c>
      <c r="M7" s="77">
        <f t="shared" si="8"/>
        <v>1.0430852626238352E-3</v>
      </c>
      <c r="N7" s="77">
        <f t="shared" si="9"/>
        <v>1.2903092613237542E-3</v>
      </c>
      <c r="O7" s="77">
        <f t="shared" si="10"/>
        <v>1.8583933966079119E-3</v>
      </c>
      <c r="P7" s="77">
        <f t="shared" si="11"/>
        <v>2.3438789133402339E-3</v>
      </c>
      <c r="Q7" s="174"/>
      <c r="R7" s="170" t="s">
        <v>247</v>
      </c>
      <c r="S7" s="74">
        <v>0.96540000000000004</v>
      </c>
      <c r="T7" s="74">
        <v>0.93540000000000001</v>
      </c>
      <c r="U7" s="74">
        <v>0.90539999999999998</v>
      </c>
      <c r="V7" s="74">
        <v>0.87539999999999996</v>
      </c>
      <c r="W7" s="74">
        <v>0.84540000000000004</v>
      </c>
      <c r="X7" s="74">
        <v>0.81540000000000001</v>
      </c>
      <c r="Y7" s="74">
        <v>0.78359999999999996</v>
      </c>
      <c r="Z7" s="74">
        <v>0.746</v>
      </c>
      <c r="AA7" s="74">
        <v>0.69840000000000002</v>
      </c>
      <c r="AB7" s="74">
        <v>0.63629999999999998</v>
      </c>
      <c r="AC7" s="74">
        <v>0.55479999999999996</v>
      </c>
      <c r="AD7" s="74">
        <v>0.44850000000000001</v>
      </c>
      <c r="AE7" s="74">
        <v>0.31140000000000001</v>
      </c>
      <c r="AF7" s="74">
        <v>0.24690000000000001</v>
      </c>
    </row>
    <row r="8" spans="1:32" ht="15" thickBot="1" x14ac:dyDescent="0.35">
      <c r="A8" s="21" t="s">
        <v>277</v>
      </c>
      <c r="B8" s="79">
        <v>6</v>
      </c>
      <c r="C8" s="105">
        <v>9.7534722222222218E-4</v>
      </c>
      <c r="D8" s="77">
        <f t="shared" si="12"/>
        <v>1.031349500076369E-3</v>
      </c>
      <c r="E8" s="77">
        <f t="shared" si="0"/>
        <v>1.0684638464394174E-3</v>
      </c>
      <c r="F8" s="77">
        <f t="shared" si="1"/>
        <v>1.1082861453579026E-3</v>
      </c>
      <c r="G8" s="77">
        <f t="shared" si="2"/>
        <v>1.1512597051725948E-3</v>
      </c>
      <c r="H8" s="77">
        <f t="shared" si="3"/>
        <v>1.1977002790228061E-3</v>
      </c>
      <c r="I8" s="77">
        <f t="shared" si="4"/>
        <v>1.2494840151450451E-3</v>
      </c>
      <c r="J8" s="77">
        <f t="shared" si="5"/>
        <v>1.3109505675029868E-3</v>
      </c>
      <c r="K8" s="77">
        <f t="shared" si="6"/>
        <v>1.4025700635924966E-3</v>
      </c>
      <c r="L8" s="77">
        <f t="shared" si="7"/>
        <v>1.5427826988646349E-3</v>
      </c>
      <c r="M8" s="77">
        <f t="shared" si="8"/>
        <v>1.7691768950158213E-3</v>
      </c>
      <c r="N8" s="77">
        <f t="shared" si="9"/>
        <v>2.1715400695140204E-3</v>
      </c>
      <c r="O8" s="77">
        <f t="shared" si="10"/>
        <v>3.0327960889994471E-3</v>
      </c>
      <c r="P8" s="77">
        <f t="shared" si="11"/>
        <v>3.9924159730749982E-3</v>
      </c>
      <c r="Q8" s="174"/>
      <c r="R8" s="170" t="s">
        <v>277</v>
      </c>
      <c r="S8" s="48">
        <f>(S7+S9)/2</f>
        <v>0.97855000000000003</v>
      </c>
      <c r="T8" s="48">
        <f t="shared" ref="T8" si="27">(T7+T9)/2</f>
        <v>0.94569999999999999</v>
      </c>
      <c r="U8" s="48">
        <f t="shared" ref="U8" si="28">(U7+U9)/2</f>
        <v>0.91284999999999994</v>
      </c>
      <c r="V8" s="48">
        <f t="shared" ref="V8" si="29">(V7+V9)/2</f>
        <v>0.88005</v>
      </c>
      <c r="W8" s="48">
        <f t="shared" ref="W8" si="30">(W7+W9)/2</f>
        <v>0.84719999999999995</v>
      </c>
      <c r="X8" s="48">
        <f t="shared" ref="X8" si="31">(X7+X9)/2</f>
        <v>0.81435000000000002</v>
      </c>
      <c r="Y8" s="48">
        <f t="shared" ref="Y8" si="32">(Y7+Y9)/2</f>
        <v>0.78059999999999996</v>
      </c>
      <c r="Z8" s="48">
        <f t="shared" ref="Z8" si="33">(Z7+Z9)/2</f>
        <v>0.74399999999999999</v>
      </c>
      <c r="AA8" s="48">
        <f t="shared" ref="AA8" si="34">(AA7+AA9)/2</f>
        <v>0.69540000000000002</v>
      </c>
      <c r="AB8" s="48">
        <f t="shared" ref="AB8" si="35">(AB7+AB9)/2</f>
        <v>0.63219999999999998</v>
      </c>
      <c r="AC8" s="48">
        <f t="shared" ref="AC8" si="36">(AC7+AC9)/2</f>
        <v>0.5512999999999999</v>
      </c>
      <c r="AD8" s="48">
        <f t="shared" ref="AD8" si="37">(AD7+AD9)/2</f>
        <v>0.44914999999999999</v>
      </c>
      <c r="AE8" s="48">
        <f t="shared" ref="AE8" si="38">(AE7+AE9)/2</f>
        <v>0.3216</v>
      </c>
      <c r="AF8" s="48">
        <f t="shared" ref="AF8" si="39">(AF7+AF9)/2</f>
        <v>0.24430000000000002</v>
      </c>
    </row>
    <row r="9" spans="1:32" ht="15" thickBot="1" x14ac:dyDescent="0.35">
      <c r="A9" s="21" t="s">
        <v>248</v>
      </c>
      <c r="B9" s="79">
        <v>7</v>
      </c>
      <c r="C9" s="105">
        <v>1.3437500000000001E-3</v>
      </c>
      <c r="D9" s="77">
        <f t="shared" si="12"/>
        <v>1.4055962343096236E-3</v>
      </c>
      <c r="E9" s="77">
        <f>IF(U9&gt;0,$C9/U9,"")</f>
        <v>1.4601216994458331E-3</v>
      </c>
      <c r="F9" s="77">
        <f t="shared" si="1"/>
        <v>1.5188764552955805E-3</v>
      </c>
      <c r="G9" s="77">
        <f t="shared" si="2"/>
        <v>1.5827444051825679E-3</v>
      </c>
      <c r="H9" s="77">
        <f t="shared" si="3"/>
        <v>1.6522193532521826E-3</v>
      </c>
      <c r="I9" s="77">
        <f t="shared" si="4"/>
        <v>1.7280735596707821E-3</v>
      </c>
      <c r="J9" s="77">
        <f t="shared" si="5"/>
        <v>1.8109838274932616E-3</v>
      </c>
      <c r="K9" s="77">
        <f t="shared" si="6"/>
        <v>1.9407134604274986E-3</v>
      </c>
      <c r="L9" s="77">
        <f t="shared" si="7"/>
        <v>2.1393886323833786E-3</v>
      </c>
      <c r="M9" s="77">
        <f t="shared" si="8"/>
        <v>2.4529937933552397E-3</v>
      </c>
      <c r="N9" s="77">
        <f t="shared" si="9"/>
        <v>2.9874388617163188E-3</v>
      </c>
      <c r="O9" s="77">
        <f t="shared" si="10"/>
        <v>4.0498794454490658E-3</v>
      </c>
      <c r="P9" s="77">
        <f t="shared" si="11"/>
        <v>5.5595779892428634E-3</v>
      </c>
      <c r="Q9" s="174"/>
      <c r="R9" s="170" t="s">
        <v>248</v>
      </c>
      <c r="S9" s="74">
        <v>0.99170000000000003</v>
      </c>
      <c r="T9" s="74">
        <v>0.95599999999999996</v>
      </c>
      <c r="U9" s="74">
        <v>0.92030000000000001</v>
      </c>
      <c r="V9" s="74">
        <v>0.88470000000000004</v>
      </c>
      <c r="W9" s="74">
        <v>0.84899999999999998</v>
      </c>
      <c r="X9" s="74">
        <v>0.81330000000000002</v>
      </c>
      <c r="Y9" s="74">
        <v>0.77759999999999996</v>
      </c>
      <c r="Z9" s="74">
        <v>0.74199999999999999</v>
      </c>
      <c r="AA9" s="74">
        <v>0.69240000000000002</v>
      </c>
      <c r="AB9" s="74">
        <v>0.62809999999999999</v>
      </c>
      <c r="AC9" s="74">
        <v>0.54779999999999995</v>
      </c>
      <c r="AD9" s="74">
        <v>0.44979999999999998</v>
      </c>
      <c r="AE9" s="74">
        <v>0.33179999999999998</v>
      </c>
      <c r="AF9" s="74">
        <v>0.2417</v>
      </c>
    </row>
    <row r="10" spans="1:32" ht="15" thickBot="1" x14ac:dyDescent="0.35">
      <c r="A10" s="21" t="s">
        <v>249</v>
      </c>
      <c r="B10" s="79">
        <v>8</v>
      </c>
      <c r="C10" s="105">
        <v>1.7081018518518519E-3</v>
      </c>
      <c r="D10" s="77">
        <f t="shared" si="12"/>
        <v>1.7910263729179533E-3</v>
      </c>
      <c r="E10" s="77">
        <f t="shared" si="0"/>
        <v>1.867594414882847E-3</v>
      </c>
      <c r="F10" s="77">
        <f t="shared" si="1"/>
        <v>1.9510015440912074E-3</v>
      </c>
      <c r="G10" s="77">
        <f t="shared" si="2"/>
        <v>2.042206900827178E-3</v>
      </c>
      <c r="H10" s="77">
        <f t="shared" si="3"/>
        <v>2.1437021233080473E-3</v>
      </c>
      <c r="I10" s="77">
        <f t="shared" si="4"/>
        <v>2.2590951618196692E-3</v>
      </c>
      <c r="J10" s="77">
        <f t="shared" si="5"/>
        <v>2.4020557612879369E-3</v>
      </c>
      <c r="K10" s="77">
        <f t="shared" si="6"/>
        <v>2.5927471946749418E-3</v>
      </c>
      <c r="L10" s="77">
        <f t="shared" si="7"/>
        <v>2.8697947779769018E-3</v>
      </c>
      <c r="M10" s="77">
        <f t="shared" si="8"/>
        <v>3.3147716899900098E-3</v>
      </c>
      <c r="N10" s="77">
        <f t="shared" si="9"/>
        <v>4.1388462608477148E-3</v>
      </c>
      <c r="O10" s="77">
        <f t="shared" si="10"/>
        <v>6.1200352986451158E-3</v>
      </c>
      <c r="P10" s="77">
        <f t="shared" si="11"/>
        <v>8.952315785387065E-3</v>
      </c>
      <c r="Q10" s="174"/>
      <c r="R10" s="170" t="s">
        <v>249</v>
      </c>
      <c r="S10" s="74">
        <v>0.99280000000000002</v>
      </c>
      <c r="T10" s="74">
        <v>0.95369999999999999</v>
      </c>
      <c r="U10" s="74">
        <v>0.91459999999999997</v>
      </c>
      <c r="V10" s="74">
        <v>0.87549999999999994</v>
      </c>
      <c r="W10" s="74">
        <v>0.83640000000000003</v>
      </c>
      <c r="X10" s="74">
        <v>0.79679999999999995</v>
      </c>
      <c r="Y10" s="74">
        <v>0.75609999999999999</v>
      </c>
      <c r="Z10" s="74">
        <v>0.71109999999999995</v>
      </c>
      <c r="AA10" s="74">
        <v>0.65880000000000005</v>
      </c>
      <c r="AB10" s="74">
        <v>0.59519999999999995</v>
      </c>
      <c r="AC10" s="74">
        <v>0.51529999999999998</v>
      </c>
      <c r="AD10" s="74">
        <v>0.41270000000000001</v>
      </c>
      <c r="AE10" s="74">
        <v>0.27910000000000001</v>
      </c>
      <c r="AF10" s="74">
        <v>0.1908</v>
      </c>
    </row>
    <row r="11" spans="1:32" ht="15" thickBot="1" x14ac:dyDescent="0.35">
      <c r="A11" s="21" t="s">
        <v>250</v>
      </c>
      <c r="B11" s="79">
        <v>9</v>
      </c>
      <c r="C11" s="105">
        <v>2.7893518518518519E-3</v>
      </c>
      <c r="D11" s="77">
        <f t="shared" si="12"/>
        <v>2.930299245563454E-3</v>
      </c>
      <c r="E11" s="77">
        <f t="shared" si="0"/>
        <v>3.0568239472349061E-3</v>
      </c>
      <c r="F11" s="77">
        <f t="shared" si="1"/>
        <v>3.1947678981237566E-3</v>
      </c>
      <c r="G11" s="77">
        <f t="shared" si="2"/>
        <v>3.3457500921816622E-3</v>
      </c>
      <c r="H11" s="77">
        <f t="shared" si="3"/>
        <v>3.5134801005817506E-3</v>
      </c>
      <c r="I11" s="77">
        <f t="shared" si="4"/>
        <v>3.7048105350668773E-3</v>
      </c>
      <c r="J11" s="77">
        <f t="shared" si="5"/>
        <v>3.9403190448535838E-3</v>
      </c>
      <c r="K11" s="77">
        <f t="shared" si="6"/>
        <v>4.2546550516349181E-3</v>
      </c>
      <c r="L11" s="77">
        <f t="shared" si="7"/>
        <v>4.7117429929929931E-3</v>
      </c>
      <c r="M11" s="77">
        <f t="shared" si="8"/>
        <v>5.4468889901422611E-3</v>
      </c>
      <c r="N11" s="77">
        <f t="shared" si="9"/>
        <v>6.8116040338262566E-3</v>
      </c>
      <c r="O11" s="77">
        <f t="shared" si="10"/>
        <v>1.0110010336541689E-2</v>
      </c>
      <c r="P11" s="77">
        <f t="shared" si="11"/>
        <v>1.4619244506561069E-2</v>
      </c>
      <c r="Q11" s="174"/>
      <c r="R11" s="170" t="s">
        <v>250</v>
      </c>
      <c r="S11" s="74">
        <v>0.99129999999999996</v>
      </c>
      <c r="T11" s="74">
        <v>0.95189999999999997</v>
      </c>
      <c r="U11" s="74">
        <v>0.91249999999999998</v>
      </c>
      <c r="V11" s="74">
        <v>0.87309999999999999</v>
      </c>
      <c r="W11" s="74">
        <v>0.8337</v>
      </c>
      <c r="X11" s="74">
        <v>0.79390000000000005</v>
      </c>
      <c r="Y11" s="74">
        <v>0.75290000000000001</v>
      </c>
      <c r="Z11" s="74">
        <v>0.70789999999999997</v>
      </c>
      <c r="AA11" s="74">
        <v>0.65559999999999996</v>
      </c>
      <c r="AB11" s="74">
        <v>0.59199999999999997</v>
      </c>
      <c r="AC11" s="74">
        <v>0.5121</v>
      </c>
      <c r="AD11" s="74">
        <v>0.40949999999999998</v>
      </c>
      <c r="AE11" s="74">
        <v>0.27589999999999998</v>
      </c>
      <c r="AF11" s="74">
        <v>0.1908</v>
      </c>
    </row>
    <row r="12" spans="1:32" ht="15" thickBot="1" x14ac:dyDescent="0.35">
      <c r="A12" s="21" t="s">
        <v>251</v>
      </c>
      <c r="B12" s="79">
        <v>10</v>
      </c>
      <c r="C12" s="105">
        <v>3.003472222222222E-3</v>
      </c>
      <c r="D12" s="77">
        <f t="shared" si="12"/>
        <v>3.1333495615484034E-3</v>
      </c>
      <c r="E12" s="77">
        <f t="shared" si="0"/>
        <v>3.2595064541996008E-3</v>
      </c>
      <c r="F12" s="77">
        <f t="shared" si="1"/>
        <v>3.3962483431019645E-3</v>
      </c>
      <c r="G12" s="77">
        <f t="shared" si="2"/>
        <v>3.5449657388282349E-3</v>
      </c>
      <c r="H12" s="77">
        <f t="shared" si="3"/>
        <v>3.7082193002311529E-3</v>
      </c>
      <c r="I12" s="77">
        <f t="shared" si="4"/>
        <v>3.893786507061933E-3</v>
      </c>
      <c r="J12" s="77">
        <f t="shared" si="5"/>
        <v>4.1239492272720337E-3</v>
      </c>
      <c r="K12" s="77">
        <f t="shared" si="6"/>
        <v>4.435788247263657E-3</v>
      </c>
      <c r="L12" s="77">
        <f t="shared" si="7"/>
        <v>4.8968325136092309E-3</v>
      </c>
      <c r="M12" s="77">
        <f t="shared" si="8"/>
        <v>5.6477476912790928E-3</v>
      </c>
      <c r="N12" s="77">
        <f t="shared" si="9"/>
        <v>7.0479226146244797E-3</v>
      </c>
      <c r="O12" s="77">
        <f t="shared" si="10"/>
        <v>1.0399834564481378E-2</v>
      </c>
      <c r="P12" s="77">
        <f t="shared" si="11"/>
        <v>1.5908221516007532E-2</v>
      </c>
      <c r="Q12" s="174"/>
      <c r="R12" s="170" t="s">
        <v>251</v>
      </c>
      <c r="S12">
        <f t="shared" ref="S12:AF12" si="40">(S11+S14)/2</f>
        <v>0.99564999999999992</v>
      </c>
      <c r="T12" s="48">
        <f t="shared" si="40"/>
        <v>0.95855000000000001</v>
      </c>
      <c r="U12" s="48">
        <f t="shared" si="40"/>
        <v>0.92144999999999999</v>
      </c>
      <c r="V12" s="48">
        <f t="shared" si="40"/>
        <v>0.88434999999999997</v>
      </c>
      <c r="W12" s="48">
        <f t="shared" si="40"/>
        <v>0.84725000000000006</v>
      </c>
      <c r="X12" s="48">
        <f t="shared" si="40"/>
        <v>0.80994999999999995</v>
      </c>
      <c r="Y12" s="48">
        <f t="shared" si="40"/>
        <v>0.77134999999999998</v>
      </c>
      <c r="Z12" s="48">
        <f t="shared" si="40"/>
        <v>0.72829999999999995</v>
      </c>
      <c r="AA12" s="48">
        <f t="shared" si="40"/>
        <v>0.67710000000000004</v>
      </c>
      <c r="AB12" s="48">
        <f t="shared" si="40"/>
        <v>0.61335000000000006</v>
      </c>
      <c r="AC12" s="48">
        <f t="shared" si="40"/>
        <v>0.53180000000000005</v>
      </c>
      <c r="AD12" s="48">
        <f t="shared" si="40"/>
        <v>0.42615000000000003</v>
      </c>
      <c r="AE12" s="48">
        <f t="shared" si="40"/>
        <v>0.2888</v>
      </c>
      <c r="AF12" s="48">
        <f t="shared" si="40"/>
        <v>0.1888</v>
      </c>
    </row>
    <row r="13" spans="1:32" ht="15" thickBot="1" x14ac:dyDescent="0.35">
      <c r="A13" s="21" t="s">
        <v>252</v>
      </c>
      <c r="B13" s="79">
        <v>11</v>
      </c>
      <c r="C13" s="105">
        <v>3.7858796296296299E-3</v>
      </c>
      <c r="D13" s="77">
        <f t="shared" si="12"/>
        <v>3.9359372367819409E-3</v>
      </c>
      <c r="E13" s="77">
        <f t="shared" si="0"/>
        <v>4.0887540887540891E-3</v>
      </c>
      <c r="F13" s="77">
        <f t="shared" si="1"/>
        <v>4.2539168287082556E-3</v>
      </c>
      <c r="G13" s="77">
        <f t="shared" si="2"/>
        <v>4.4329845491989459E-3</v>
      </c>
      <c r="H13" s="77">
        <f t="shared" si="3"/>
        <v>4.6283561595765526E-3</v>
      </c>
      <c r="I13" s="77">
        <f t="shared" si="4"/>
        <v>4.8501164265184384E-3</v>
      </c>
      <c r="J13" s="77">
        <f t="shared" si="5"/>
        <v>5.1264449961132431E-3</v>
      </c>
      <c r="K13" s="77">
        <f t="shared" si="6"/>
        <v>5.5039320049860138E-3</v>
      </c>
      <c r="L13" s="77">
        <f t="shared" si="7"/>
        <v>6.0668717273019987E-3</v>
      </c>
      <c r="M13" s="77">
        <f t="shared" si="8"/>
        <v>6.9895313018178348E-3</v>
      </c>
      <c r="N13" s="77">
        <f t="shared" si="9"/>
        <v>8.7136880824664927E-3</v>
      </c>
      <c r="O13" s="77">
        <f t="shared" si="10"/>
        <v>1.282262363972779E-2</v>
      </c>
      <c r="P13" s="77">
        <f t="shared" si="11"/>
        <v>2.015910345915671E-2</v>
      </c>
      <c r="Q13" s="174"/>
      <c r="R13" s="170" t="s">
        <v>252</v>
      </c>
      <c r="S13">
        <f>(S12+S14)/2</f>
        <v>0.99782499999999996</v>
      </c>
      <c r="T13" s="48">
        <f>(T12+T14)/2</f>
        <v>0.96187500000000004</v>
      </c>
      <c r="U13" s="48">
        <f t="shared" ref="U13" si="41">(U12+U14)/2</f>
        <v>0.925925</v>
      </c>
      <c r="V13" s="48">
        <f t="shared" ref="V13" si="42">(V12+V14)/2</f>
        <v>0.88997499999999996</v>
      </c>
      <c r="W13" s="48">
        <f t="shared" ref="W13" si="43">(W12+W14)/2</f>
        <v>0.85402500000000003</v>
      </c>
      <c r="X13" s="48">
        <f t="shared" ref="X13" si="44">(X12+X14)/2</f>
        <v>0.8179749999999999</v>
      </c>
      <c r="Y13" s="48">
        <f t="shared" ref="Y13" si="45">(Y12+Y14)/2</f>
        <v>0.78057500000000002</v>
      </c>
      <c r="Z13" s="48">
        <f t="shared" ref="Z13" si="46">(Z12+Z14)/2</f>
        <v>0.73849999999999993</v>
      </c>
      <c r="AA13" s="48">
        <f t="shared" ref="AA13" si="47">(AA12+AA14)/2</f>
        <v>0.68785000000000007</v>
      </c>
      <c r="AB13" s="48">
        <f t="shared" ref="AB13" si="48">(AB12+AB14)/2</f>
        <v>0.62402500000000005</v>
      </c>
      <c r="AC13" s="48">
        <f t="shared" ref="AC13" si="49">(AC12+AC14)/2</f>
        <v>0.54164999999999996</v>
      </c>
      <c r="AD13" s="48">
        <f t="shared" ref="AD13" si="50">(AD12+AD14)/2</f>
        <v>0.43447500000000006</v>
      </c>
      <c r="AE13" s="48">
        <f t="shared" ref="AE13" si="51">(AE12+AE14)/2</f>
        <v>0.29525000000000001</v>
      </c>
      <c r="AF13" s="48">
        <f t="shared" ref="AF13" si="52">(AF12+AF14)/2</f>
        <v>0.18779999999999999</v>
      </c>
    </row>
    <row r="14" spans="1:32" ht="15" thickBot="1" x14ac:dyDescent="0.35">
      <c r="A14" s="21" t="s">
        <v>253</v>
      </c>
      <c r="B14" s="79">
        <v>12</v>
      </c>
      <c r="C14" s="105">
        <v>5.7685185185185192E-3</v>
      </c>
      <c r="D14" s="77">
        <f t="shared" si="12"/>
        <v>5.9765007444244917E-3</v>
      </c>
      <c r="E14" s="77">
        <f t="shared" si="0"/>
        <v>6.2000413999554159E-3</v>
      </c>
      <c r="F14" s="77">
        <f t="shared" si="1"/>
        <v>6.440954129654443E-3</v>
      </c>
      <c r="G14" s="77">
        <f t="shared" si="2"/>
        <v>6.7013458625912164E-3</v>
      </c>
      <c r="H14" s="77">
        <f t="shared" si="3"/>
        <v>6.9836785938480863E-3</v>
      </c>
      <c r="I14" s="77">
        <f t="shared" si="4"/>
        <v>7.3037712313478347E-3</v>
      </c>
      <c r="J14" s="77">
        <f t="shared" si="5"/>
        <v>7.704712860315906E-3</v>
      </c>
      <c r="K14" s="77">
        <f t="shared" si="6"/>
        <v>8.2572552512432274E-3</v>
      </c>
      <c r="L14" s="77">
        <f t="shared" si="7"/>
        <v>9.088574946460563E-3</v>
      </c>
      <c r="M14" s="77">
        <f t="shared" si="8"/>
        <v>1.0459689063496862E-2</v>
      </c>
      <c r="N14" s="77">
        <f t="shared" si="9"/>
        <v>1.3027367928000268E-2</v>
      </c>
      <c r="O14" s="77">
        <f t="shared" si="10"/>
        <v>1.9120048122368307E-2</v>
      </c>
      <c r="P14" s="77">
        <f t="shared" si="11"/>
        <v>3.0880720120548818E-2</v>
      </c>
      <c r="Q14" s="174"/>
      <c r="R14" s="170" t="s">
        <v>253</v>
      </c>
      <c r="S14" s="74">
        <v>1</v>
      </c>
      <c r="T14" s="74">
        <v>0.96519999999999995</v>
      </c>
      <c r="U14" s="74">
        <v>0.9304</v>
      </c>
      <c r="V14" s="74">
        <v>0.89559999999999995</v>
      </c>
      <c r="W14" s="74">
        <v>0.86080000000000001</v>
      </c>
      <c r="X14" s="74">
        <v>0.82599999999999996</v>
      </c>
      <c r="Y14" s="74">
        <v>0.78979999999999995</v>
      </c>
      <c r="Z14" s="74">
        <v>0.74870000000000003</v>
      </c>
      <c r="AA14" s="74">
        <v>0.6986</v>
      </c>
      <c r="AB14" s="74">
        <v>0.63470000000000004</v>
      </c>
      <c r="AC14" s="74">
        <v>0.55149999999999999</v>
      </c>
      <c r="AD14" s="74">
        <v>0.44280000000000003</v>
      </c>
      <c r="AE14" s="74">
        <v>0.30170000000000002</v>
      </c>
      <c r="AF14" s="74">
        <v>0.18679999999999999</v>
      </c>
    </row>
    <row r="15" spans="1:32" ht="15" thickBot="1" x14ac:dyDescent="0.35">
      <c r="A15" s="21" t="s">
        <v>284</v>
      </c>
      <c r="B15" s="79">
        <v>13</v>
      </c>
      <c r="C15" s="105">
        <v>6.6950231481481479E-3</v>
      </c>
      <c r="D15" s="77">
        <f t="shared" si="12"/>
        <v>6.9367695675782506E-3</v>
      </c>
      <c r="E15" s="77">
        <f t="shared" si="0"/>
        <v>7.1966281287199263E-3</v>
      </c>
      <c r="F15" s="77">
        <f t="shared" si="1"/>
        <v>7.4767135497773723E-3</v>
      </c>
      <c r="G15" s="77">
        <f t="shared" si="2"/>
        <v>7.7794830910389813E-3</v>
      </c>
      <c r="H15" s="77">
        <f t="shared" si="3"/>
        <v>8.1078088382054471E-3</v>
      </c>
      <c r="I15" s="77">
        <f t="shared" si="4"/>
        <v>8.480079984988155E-3</v>
      </c>
      <c r="J15" s="77">
        <f t="shared" si="5"/>
        <v>8.9463795659091971E-3</v>
      </c>
      <c r="K15" s="77">
        <f t="shared" si="6"/>
        <v>9.5889761503124438E-3</v>
      </c>
      <c r="L15" s="77">
        <f t="shared" si="7"/>
        <v>1.0555811033737719E-2</v>
      </c>
      <c r="M15" s="77">
        <f t="shared" si="8"/>
        <v>1.2150677219869599E-2</v>
      </c>
      <c r="N15" s="77">
        <f t="shared" si="9"/>
        <v>1.5138548667378513E-2</v>
      </c>
      <c r="O15" s="77">
        <f t="shared" si="10"/>
        <v>2.2235214706569733E-2</v>
      </c>
      <c r="P15" s="77">
        <f t="shared" si="11"/>
        <v>3.5840595011499721E-2</v>
      </c>
      <c r="Q15" s="174"/>
      <c r="R15" s="170" t="s">
        <v>284</v>
      </c>
      <c r="S15">
        <f>(S14+S16)/2</f>
        <v>1</v>
      </c>
      <c r="T15" s="48">
        <f t="shared" ref="T15" si="53">(T14+T16)/2</f>
        <v>0.96514999999999995</v>
      </c>
      <c r="U15" s="48">
        <f t="shared" ref="U15" si="54">(U14+U16)/2</f>
        <v>0.93030000000000002</v>
      </c>
      <c r="V15" s="48">
        <f t="shared" ref="V15" si="55">(V14+V16)/2</f>
        <v>0.89544999999999997</v>
      </c>
      <c r="W15" s="48">
        <f t="shared" ref="W15" si="56">(W14+W16)/2</f>
        <v>0.86060000000000003</v>
      </c>
      <c r="X15" s="48">
        <f t="shared" ref="X15" si="57">(X14+X16)/2</f>
        <v>0.82574999999999998</v>
      </c>
      <c r="Y15" s="48">
        <f t="shared" ref="Y15" si="58">(Y14+Y16)/2</f>
        <v>0.78949999999999998</v>
      </c>
      <c r="Z15" s="48">
        <f t="shared" ref="Z15" si="59">(Z14+Z16)/2</f>
        <v>0.74835000000000007</v>
      </c>
      <c r="AA15" s="48">
        <f t="shared" ref="AA15" si="60">(AA14+AA16)/2</f>
        <v>0.69819999999999993</v>
      </c>
      <c r="AB15" s="48">
        <f t="shared" ref="AB15" si="61">(AB14+AB16)/2</f>
        <v>0.63424999999999998</v>
      </c>
      <c r="AC15" s="48">
        <f t="shared" ref="AC15" si="62">(AC14+AC16)/2</f>
        <v>0.55099999999999993</v>
      </c>
      <c r="AD15" s="48">
        <f t="shared" ref="AD15" si="63">(AD14+AD16)/2</f>
        <v>0.44225000000000003</v>
      </c>
      <c r="AE15" s="48">
        <f t="shared" ref="AE15" si="64">(AE14+AE16)/2</f>
        <v>0.30110000000000003</v>
      </c>
      <c r="AF15" s="48">
        <f t="shared" ref="AF15" si="65">(AF14+AF16)/2</f>
        <v>0.18679999999999999</v>
      </c>
    </row>
    <row r="16" spans="1:32" ht="15" thickBot="1" x14ac:dyDescent="0.35">
      <c r="A16" s="21" t="s">
        <v>254</v>
      </c>
      <c r="B16" s="79">
        <v>14</v>
      </c>
      <c r="C16" s="105">
        <v>1.0181712962962964E-2</v>
      </c>
      <c r="D16" s="77">
        <f>IF(T16&gt;0,$C16/T16,"")</f>
        <v>1.05499046347145E-2</v>
      </c>
      <c r="E16" s="77">
        <f t="shared" si="0"/>
        <v>1.0945724535543929E-2</v>
      </c>
      <c r="F16" s="77">
        <f t="shared" si="1"/>
        <v>1.1372403622208158E-2</v>
      </c>
      <c r="G16" s="77">
        <f t="shared" si="2"/>
        <v>1.1833697074573411E-2</v>
      </c>
      <c r="H16" s="77">
        <f t="shared" si="3"/>
        <v>1.2333995109585662E-2</v>
      </c>
      <c r="I16" s="77">
        <f t="shared" si="4"/>
        <v>1.2901308873495899E-2</v>
      </c>
      <c r="J16" s="77">
        <f t="shared" si="5"/>
        <v>1.3611915725886315E-2</v>
      </c>
      <c r="K16" s="77">
        <f t="shared" si="6"/>
        <v>1.4591162171056125E-2</v>
      </c>
      <c r="L16" s="77">
        <f t="shared" si="7"/>
        <v>1.6064551850683121E-2</v>
      </c>
      <c r="M16" s="77">
        <f t="shared" si="8"/>
        <v>1.849539139502809E-2</v>
      </c>
      <c r="N16" s="77">
        <f t="shared" si="9"/>
        <v>2.3051195297629532E-2</v>
      </c>
      <c r="O16" s="77">
        <f t="shared" si="10"/>
        <v>3.388257225611635E-2</v>
      </c>
      <c r="P16" s="77">
        <f t="shared" si="11"/>
        <v>5.4505958045840276E-2</v>
      </c>
      <c r="Q16" s="174"/>
      <c r="R16" s="170" t="s">
        <v>254</v>
      </c>
      <c r="S16" s="74">
        <v>1</v>
      </c>
      <c r="T16" s="74">
        <v>0.96509999999999996</v>
      </c>
      <c r="U16" s="74">
        <v>0.93020000000000003</v>
      </c>
      <c r="V16" s="74">
        <v>0.89529999999999998</v>
      </c>
      <c r="W16" s="74">
        <v>0.86040000000000005</v>
      </c>
      <c r="X16" s="74">
        <v>0.82550000000000001</v>
      </c>
      <c r="Y16" s="74">
        <v>0.78920000000000001</v>
      </c>
      <c r="Z16" s="74">
        <v>0.748</v>
      </c>
      <c r="AA16" s="74">
        <v>0.69779999999999998</v>
      </c>
      <c r="AB16" s="74">
        <v>0.63380000000000003</v>
      </c>
      <c r="AC16" s="74">
        <v>0.55049999999999999</v>
      </c>
      <c r="AD16" s="74">
        <v>0.44169999999999998</v>
      </c>
      <c r="AE16" s="74">
        <v>0.30049999999999999</v>
      </c>
      <c r="AF16" s="74">
        <v>0.18679999999999999</v>
      </c>
    </row>
    <row r="17" spans="1:32" ht="15" thickBot="1" x14ac:dyDescent="0.35">
      <c r="A17" s="21" t="s">
        <v>291</v>
      </c>
      <c r="B17" s="79">
        <v>15</v>
      </c>
      <c r="C17" s="105">
        <v>2.1252314814814811E-2</v>
      </c>
      <c r="D17" s="77">
        <f t="shared" si="12"/>
        <v>2.2027689484675383E-2</v>
      </c>
      <c r="E17" s="77">
        <f t="shared" si="0"/>
        <v>2.2861784439344675E-2</v>
      </c>
      <c r="F17" s="77">
        <f t="shared" si="1"/>
        <v>2.3761532664148939E-2</v>
      </c>
      <c r="G17" s="77">
        <f t="shared" si="2"/>
        <v>2.4735003276088002E-2</v>
      </c>
      <c r="H17" s="77">
        <f t="shared" si="3"/>
        <v>2.5791644192736423E-2</v>
      </c>
      <c r="I17" s="77">
        <f t="shared" si="4"/>
        <v>2.7045450260644959E-2</v>
      </c>
      <c r="J17" s="77">
        <f t="shared" si="5"/>
        <v>2.8649655991931533E-2</v>
      </c>
      <c r="K17" s="77">
        <f t="shared" si="6"/>
        <v>3.0867559643884983E-2</v>
      </c>
      <c r="L17" s="77">
        <f t="shared" si="7"/>
        <v>3.4184196259956265E-2</v>
      </c>
      <c r="M17" s="77">
        <f t="shared" si="8"/>
        <v>3.961288875081978E-2</v>
      </c>
      <c r="N17" s="83">
        <f t="shared" si="9"/>
        <v>4.9736285548361361E-2</v>
      </c>
      <c r="O17" s="83">
        <f t="shared" si="10"/>
        <v>6.6957513594249563E-2</v>
      </c>
      <c r="P17" s="83">
        <f t="shared" si="11"/>
        <v>0.11377042192085017</v>
      </c>
      <c r="Q17" s="174"/>
      <c r="R17" s="170" t="s">
        <v>291</v>
      </c>
      <c r="S17" s="74">
        <v>1</v>
      </c>
      <c r="T17" s="74">
        <v>0.96479999999999999</v>
      </c>
      <c r="U17" s="74">
        <v>0.92959999999999998</v>
      </c>
      <c r="V17" s="74">
        <v>0.89439999999999997</v>
      </c>
      <c r="W17" s="74">
        <v>0.85919999999999996</v>
      </c>
      <c r="X17" s="74">
        <v>0.82399999999999995</v>
      </c>
      <c r="Y17" s="74">
        <v>0.78580000000000005</v>
      </c>
      <c r="Z17" s="74">
        <v>0.74180000000000001</v>
      </c>
      <c r="AA17" s="74">
        <v>0.6885</v>
      </c>
      <c r="AB17" s="74">
        <v>0.62170000000000003</v>
      </c>
      <c r="AC17" s="74">
        <v>0.53649999999999998</v>
      </c>
      <c r="AD17" s="74">
        <v>0.42730000000000001</v>
      </c>
      <c r="AE17" s="74">
        <v>0.31740000000000002</v>
      </c>
      <c r="AF17" s="74">
        <v>0.18679999999999999</v>
      </c>
    </row>
    <row r="18" spans="1:32" ht="15" thickBot="1" x14ac:dyDescent="0.35">
      <c r="A18" s="21" t="s">
        <v>303</v>
      </c>
      <c r="B18" s="79">
        <v>16</v>
      </c>
      <c r="C18" s="105">
        <v>1.7881944444444445E-4</v>
      </c>
      <c r="D18" s="77">
        <f t="shared" si="12"/>
        <v>1.8898694191972568E-4</v>
      </c>
      <c r="E18" s="77">
        <f t="shared" si="0"/>
        <v>1.9678600687184379E-4</v>
      </c>
      <c r="F18" s="77">
        <f t="shared" si="1"/>
        <v>1.8178249918109632E-4</v>
      </c>
      <c r="G18" s="77">
        <f t="shared" si="2"/>
        <v>1.8771724170107542E-4</v>
      </c>
      <c r="H18" s="77">
        <f t="shared" si="3"/>
        <v>1.9540973056982237E-4</v>
      </c>
      <c r="I18" s="77">
        <f t="shared" si="4"/>
        <v>2.0703883807391969E-4</v>
      </c>
      <c r="J18" s="77" t="str">
        <f t="shared" si="5"/>
        <v/>
      </c>
      <c r="K18" s="77" t="str">
        <f t="shared" si="6"/>
        <v/>
      </c>
      <c r="L18" s="77" t="str">
        <f t="shared" si="7"/>
        <v/>
      </c>
      <c r="M18" s="77" t="str">
        <f t="shared" si="8"/>
        <v/>
      </c>
      <c r="N18" s="77" t="str">
        <f t="shared" si="9"/>
        <v/>
      </c>
      <c r="O18" s="77" t="str">
        <f t="shared" si="10"/>
        <v/>
      </c>
      <c r="P18" s="77" t="str">
        <f t="shared" si="11"/>
        <v/>
      </c>
      <c r="Q18" s="174"/>
      <c r="R18" s="170" t="s">
        <v>338</v>
      </c>
      <c r="S18" s="74">
        <v>0.99009999999999998</v>
      </c>
      <c r="T18" s="74">
        <v>0.94620000000000004</v>
      </c>
      <c r="U18" s="74">
        <v>0.90869999999999995</v>
      </c>
      <c r="V18" s="74">
        <v>0.98370000000000002</v>
      </c>
      <c r="W18" s="74">
        <v>0.9526</v>
      </c>
      <c r="X18" s="74">
        <v>0.91510000000000002</v>
      </c>
      <c r="Y18" s="74">
        <v>0.86370000000000002</v>
      </c>
      <c r="Z18" s="74"/>
      <c r="AA18" s="74"/>
      <c r="AB18" s="74"/>
      <c r="AC18" s="74"/>
    </row>
    <row r="19" spans="1:32" ht="15" thickBot="1" x14ac:dyDescent="0.35">
      <c r="A19" s="21" t="s">
        <v>280</v>
      </c>
      <c r="B19" s="79">
        <v>17</v>
      </c>
      <c r="C19" s="105">
        <v>3.4328703703703707E-4</v>
      </c>
      <c r="D19" s="77">
        <f t="shared" si="12"/>
        <v>3.599906009197117E-4</v>
      </c>
      <c r="E19" s="77">
        <f t="shared" si="0"/>
        <v>3.7172391666165356E-4</v>
      </c>
      <c r="F19" s="77">
        <f t="shared" si="1"/>
        <v>3.8424785878334126E-4</v>
      </c>
      <c r="G19" s="77">
        <f t="shared" si="2"/>
        <v>3.9764512572342995E-4</v>
      </c>
      <c r="H19" s="77">
        <f t="shared" si="3"/>
        <v>4.1201036610302093E-4</v>
      </c>
      <c r="I19" s="77">
        <f t="shared" si="4"/>
        <v>4.287336543487412E-4</v>
      </c>
      <c r="J19" s="77">
        <f t="shared" si="5"/>
        <v>4.4921098800973183E-4</v>
      </c>
      <c r="K19" s="77">
        <f t="shared" si="6"/>
        <v>4.7579630912964252E-4</v>
      </c>
      <c r="L19" s="77">
        <f t="shared" si="7"/>
        <v>5.1259823359270883E-4</v>
      </c>
      <c r="M19" s="77">
        <f t="shared" si="8"/>
        <v>5.6732281777728815E-4</v>
      </c>
      <c r="N19" s="77">
        <f t="shared" si="9"/>
        <v>6.5625508896394007E-4</v>
      </c>
      <c r="O19" s="77">
        <f t="shared" si="10"/>
        <v>8.2106442725911756E-4</v>
      </c>
      <c r="P19" s="77">
        <f t="shared" si="11"/>
        <v>1.2866830473652064E-3</v>
      </c>
      <c r="Q19" s="174"/>
      <c r="R19" s="170" t="s">
        <v>294</v>
      </c>
      <c r="S19" s="74">
        <v>0.98370000000000002</v>
      </c>
      <c r="T19" s="74">
        <v>0.9536</v>
      </c>
      <c r="U19" s="74">
        <v>0.92349999999999999</v>
      </c>
      <c r="V19" s="74">
        <v>0.89339999999999997</v>
      </c>
      <c r="W19" s="74">
        <v>0.86329999999999996</v>
      </c>
      <c r="X19" s="74">
        <v>0.83320000000000005</v>
      </c>
      <c r="Y19" s="74">
        <v>0.80069999999999997</v>
      </c>
      <c r="Z19" s="74">
        <v>0.76419999999999999</v>
      </c>
      <c r="AA19" s="74">
        <v>0.72150000000000003</v>
      </c>
      <c r="AB19" s="74">
        <v>0.66969999999999996</v>
      </c>
      <c r="AC19" s="74">
        <v>0.60509999999999997</v>
      </c>
      <c r="AD19" s="74">
        <v>0.52310000000000001</v>
      </c>
      <c r="AE19" s="74">
        <v>0.41810000000000003</v>
      </c>
      <c r="AF19" s="74">
        <v>0.26679999999999998</v>
      </c>
    </row>
    <row r="20" spans="1:32" ht="15" thickBot="1" x14ac:dyDescent="0.35">
      <c r="A20" s="21" t="s">
        <v>278</v>
      </c>
      <c r="B20" s="79">
        <v>18</v>
      </c>
      <c r="C20" s="105">
        <v>5.0925925925925921E-4</v>
      </c>
      <c r="D20" s="77" t="str">
        <f t="shared" si="12"/>
        <v/>
      </c>
      <c r="E20" s="77" t="str">
        <f t="shared" si="0"/>
        <v/>
      </c>
      <c r="F20" s="77" t="str">
        <f t="shared" si="1"/>
        <v/>
      </c>
      <c r="G20" s="77" t="str">
        <f t="shared" si="2"/>
        <v/>
      </c>
      <c r="H20" s="77">
        <f t="shared" si="3"/>
        <v>5.9437355188989168E-4</v>
      </c>
      <c r="I20" s="77">
        <f t="shared" si="4"/>
        <v>6.4857266844021804E-4</v>
      </c>
      <c r="J20" s="77">
        <f t="shared" si="5"/>
        <v>7.2276363789278912E-4</v>
      </c>
      <c r="K20" s="77">
        <f t="shared" si="6"/>
        <v>8.2860276482144349E-4</v>
      </c>
      <c r="L20" s="77" t="str">
        <f t="shared" si="7"/>
        <v/>
      </c>
      <c r="M20" s="77" t="str">
        <f t="shared" si="8"/>
        <v/>
      </c>
      <c r="N20" s="77" t="str">
        <f t="shared" si="9"/>
        <v/>
      </c>
      <c r="O20" s="77" t="str">
        <f t="shared" si="10"/>
        <v/>
      </c>
      <c r="P20" s="77" t="str">
        <f t="shared" si="11"/>
        <v/>
      </c>
      <c r="Q20" s="174"/>
      <c r="R20" s="170" t="s">
        <v>295</v>
      </c>
      <c r="S20" s="74"/>
      <c r="T20" s="74"/>
      <c r="U20" s="74"/>
      <c r="V20" s="74"/>
      <c r="W20" s="74"/>
      <c r="X20" s="74">
        <v>0.85680000000000001</v>
      </c>
      <c r="Y20" s="74">
        <v>0.78520000000000001</v>
      </c>
      <c r="Z20" s="74">
        <v>0.7046</v>
      </c>
      <c r="AA20" s="74">
        <v>0.61460000000000004</v>
      </c>
      <c r="AB20" s="74"/>
      <c r="AC20" s="74"/>
      <c r="AD20" s="74"/>
      <c r="AE20" s="74"/>
      <c r="AF20" s="74"/>
    </row>
    <row r="21" spans="1:32" ht="15" thickBot="1" x14ac:dyDescent="0.35">
      <c r="A21" s="21" t="s">
        <v>255</v>
      </c>
      <c r="B21" s="79">
        <v>19</v>
      </c>
      <c r="C21" s="105">
        <v>6.7465277777777782E-4</v>
      </c>
      <c r="D21" s="77">
        <f t="shared" si="12"/>
        <v>7.048190323629104E-4</v>
      </c>
      <c r="E21" s="77">
        <f t="shared" si="0"/>
        <v>7.3780924953825223E-4</v>
      </c>
      <c r="F21" s="77">
        <f t="shared" si="1"/>
        <v>7.7403944214981385E-4</v>
      </c>
      <c r="G21" s="77">
        <f t="shared" si="2"/>
        <v>8.1401155619905622E-4</v>
      </c>
      <c r="H21" s="77" t="str">
        <f t="shared" si="3"/>
        <v/>
      </c>
      <c r="I21" s="77" t="str">
        <f t="shared" si="4"/>
        <v/>
      </c>
      <c r="J21" s="77" t="str">
        <f t="shared" si="5"/>
        <v/>
      </c>
      <c r="K21" s="77" t="str">
        <f t="shared" si="6"/>
        <v/>
      </c>
      <c r="L21" s="77" t="str">
        <f t="shared" si="7"/>
        <v/>
      </c>
      <c r="M21" s="77" t="str">
        <f t="shared" si="8"/>
        <v/>
      </c>
      <c r="N21" s="77" t="str">
        <f t="shared" si="9"/>
        <v/>
      </c>
      <c r="O21" s="77" t="str">
        <f t="shared" si="10"/>
        <v/>
      </c>
      <c r="P21" s="77" t="str">
        <f t="shared" si="11"/>
        <v/>
      </c>
      <c r="Q21" s="174"/>
      <c r="R21" s="170" t="s">
        <v>296</v>
      </c>
      <c r="S21" s="74">
        <v>1</v>
      </c>
      <c r="T21" s="74">
        <v>0.95720000000000005</v>
      </c>
      <c r="U21" s="74">
        <v>0.91439999999999999</v>
      </c>
      <c r="V21" s="74">
        <v>0.87160000000000004</v>
      </c>
      <c r="W21" s="74">
        <v>0.82879999999999998</v>
      </c>
      <c r="X21" s="74"/>
      <c r="Y21" s="74"/>
      <c r="Z21" s="74"/>
      <c r="AA21" s="74"/>
      <c r="AB21" s="74"/>
      <c r="AC21" s="74"/>
      <c r="AD21" s="74"/>
      <c r="AE21" s="74"/>
      <c r="AF21" s="74"/>
    </row>
    <row r="22" spans="1:32" ht="15" thickBot="1" x14ac:dyDescent="0.35">
      <c r="A22" s="21" t="s">
        <v>304</v>
      </c>
      <c r="B22" s="79">
        <v>20</v>
      </c>
      <c r="C22" s="105">
        <v>6.6620370370370366E-3</v>
      </c>
      <c r="D22" s="77">
        <f t="shared" si="12"/>
        <v>6.9839994098302091E-3</v>
      </c>
      <c r="E22" s="77">
        <f t="shared" si="0"/>
        <v>7.3386616402699228E-3</v>
      </c>
      <c r="F22" s="77">
        <f t="shared" si="1"/>
        <v>7.7312719473564308E-3</v>
      </c>
      <c r="G22" s="77">
        <f t="shared" si="2"/>
        <v>8.1682651263328063E-3</v>
      </c>
      <c r="H22" s="77">
        <f t="shared" si="3"/>
        <v>5.3579194442955093E-3</v>
      </c>
      <c r="I22" s="77">
        <f t="shared" si="4"/>
        <v>5.7570316600734847E-3</v>
      </c>
      <c r="J22" s="77">
        <f t="shared" si="5"/>
        <v>6.2583720404293438E-3</v>
      </c>
      <c r="K22" s="77">
        <f t="shared" si="6"/>
        <v>6.9086767987525007E-3</v>
      </c>
      <c r="L22" s="77">
        <f t="shared" si="7"/>
        <v>7.7955032027112528E-3</v>
      </c>
      <c r="M22" s="77">
        <f t="shared" si="8"/>
        <v>9.0961729069320534E-3</v>
      </c>
      <c r="N22" s="77">
        <f t="shared" si="9"/>
        <v>1.0971734250719758E-2</v>
      </c>
      <c r="O22" s="77">
        <f t="shared" si="10"/>
        <v>1.4066801176176175E-2</v>
      </c>
      <c r="P22" s="77">
        <f t="shared" si="11"/>
        <v>1.7694653484826125E-2</v>
      </c>
      <c r="Q22" s="174"/>
      <c r="R22" s="170" t="s">
        <v>293</v>
      </c>
      <c r="S22" s="74">
        <v>1</v>
      </c>
      <c r="T22" s="74">
        <v>0.95389999999999997</v>
      </c>
      <c r="U22" s="74">
        <v>0.90780000000000005</v>
      </c>
      <c r="V22" s="74">
        <v>0.86170000000000002</v>
      </c>
      <c r="W22" s="74">
        <v>0.81559999999999999</v>
      </c>
      <c r="X22" s="74">
        <v>1.2434000000000001</v>
      </c>
      <c r="Y22" s="74">
        <v>1.1572</v>
      </c>
      <c r="Z22" s="74">
        <v>1.0645</v>
      </c>
      <c r="AA22" s="74">
        <v>0.96430000000000005</v>
      </c>
      <c r="AB22" s="74">
        <v>0.85460000000000003</v>
      </c>
      <c r="AC22" s="74">
        <v>0.73240000000000005</v>
      </c>
      <c r="AD22" s="74">
        <v>0.60719999999999996</v>
      </c>
      <c r="AE22" s="74">
        <v>0.47360000000000002</v>
      </c>
      <c r="AF22" s="74">
        <v>0.3765</v>
      </c>
    </row>
    <row r="23" spans="1:32" ht="15" thickBot="1" x14ac:dyDescent="0.35">
      <c r="A23" s="21" t="s">
        <v>301</v>
      </c>
      <c r="B23" s="79">
        <v>21</v>
      </c>
      <c r="C23" s="81">
        <v>17.48</v>
      </c>
      <c r="D23" s="75">
        <f t="shared" si="12"/>
        <v>15.695429648918022</v>
      </c>
      <c r="E23" s="75">
        <f t="shared" si="0"/>
        <v>14.538800632121768</v>
      </c>
      <c r="F23" s="75">
        <f t="shared" si="1"/>
        <v>14.913403293234367</v>
      </c>
      <c r="G23" s="75">
        <f t="shared" si="2"/>
        <v>13.757280025184953</v>
      </c>
      <c r="H23" s="75">
        <f t="shared" si="3"/>
        <v>14.004165999038616</v>
      </c>
      <c r="I23" s="75">
        <f t="shared" si="4"/>
        <v>12.846329095318586</v>
      </c>
      <c r="J23" s="75">
        <f t="shared" si="5"/>
        <v>13.649851632047479</v>
      </c>
      <c r="K23" s="75">
        <f t="shared" si="6"/>
        <v>12.49196026584721</v>
      </c>
      <c r="L23" s="75">
        <f t="shared" si="7"/>
        <v>11.612303195376336</v>
      </c>
      <c r="M23" s="75">
        <f t="shared" si="8"/>
        <v>10.364046009723705</v>
      </c>
      <c r="N23" s="75">
        <f t="shared" si="9"/>
        <v>8.9480419759406189</v>
      </c>
      <c r="O23" s="75">
        <f t="shared" si="10"/>
        <v>7.2700049908501088</v>
      </c>
      <c r="P23" s="75">
        <f t="shared" si="11"/>
        <v>5.216042014800669</v>
      </c>
      <c r="Q23" s="174"/>
      <c r="R23" s="170" t="s">
        <v>301</v>
      </c>
      <c r="S23" s="74">
        <v>1.0371999999999999</v>
      </c>
      <c r="T23" s="74">
        <v>1.1136999999999999</v>
      </c>
      <c r="U23" s="74">
        <v>1.2022999999999999</v>
      </c>
      <c r="V23" s="74">
        <v>1.1720999999999999</v>
      </c>
      <c r="W23" s="74">
        <v>1.2706</v>
      </c>
      <c r="X23" s="74">
        <v>1.2482</v>
      </c>
      <c r="Y23" s="74">
        <v>1.3607</v>
      </c>
      <c r="Z23" s="74">
        <v>1.2806</v>
      </c>
      <c r="AA23" s="74">
        <v>1.3993</v>
      </c>
      <c r="AB23" s="74">
        <v>1.5053000000000001</v>
      </c>
      <c r="AC23" s="74">
        <v>1.6866000000000001</v>
      </c>
      <c r="AD23" s="74">
        <v>1.9535</v>
      </c>
      <c r="AE23" s="74">
        <v>2.4043999999999999</v>
      </c>
      <c r="AF23" s="74">
        <v>3.3512</v>
      </c>
    </row>
    <row r="24" spans="1:32" ht="15" thickBot="1" x14ac:dyDescent="0.35">
      <c r="A24" s="21" t="s">
        <v>300</v>
      </c>
      <c r="B24" s="79">
        <v>22</v>
      </c>
      <c r="C24" s="81">
        <v>51.3</v>
      </c>
      <c r="D24" s="75">
        <f t="shared" si="12"/>
        <v>47.228871294420912</v>
      </c>
      <c r="E24" s="75">
        <f t="shared" si="0"/>
        <v>43.786275179242061</v>
      </c>
      <c r="F24" s="75">
        <f t="shared" si="1"/>
        <v>41.782049193679747</v>
      </c>
      <c r="G24" s="75">
        <f t="shared" si="2"/>
        <v>38.340807174887885</v>
      </c>
      <c r="H24" s="75">
        <f t="shared" si="3"/>
        <v>36.280056577086278</v>
      </c>
      <c r="I24" s="75">
        <f t="shared" si="4"/>
        <v>32.842509603072983</v>
      </c>
      <c r="J24" s="75">
        <f t="shared" si="5"/>
        <v>30.533896791857629</v>
      </c>
      <c r="K24" s="75">
        <f t="shared" si="6"/>
        <v>27.096978660469045</v>
      </c>
      <c r="L24" s="75">
        <f t="shared" si="7"/>
        <v>24.484536082474225</v>
      </c>
      <c r="M24" s="75">
        <f t="shared" si="8"/>
        <v>21.043563869062268</v>
      </c>
      <c r="N24" s="75">
        <f t="shared" si="9"/>
        <v>17.606479733671964</v>
      </c>
      <c r="O24" s="75">
        <f t="shared" si="10"/>
        <v>14.168922278075456</v>
      </c>
      <c r="P24" s="75">
        <f t="shared" si="11"/>
        <v>5.8942482248316743</v>
      </c>
      <c r="Q24" s="174"/>
      <c r="R24" s="170" t="s">
        <v>300</v>
      </c>
      <c r="S24" s="74">
        <v>1.0125999999999999</v>
      </c>
      <c r="T24" s="74">
        <v>1.0862000000000001</v>
      </c>
      <c r="U24" s="74">
        <v>1.1716</v>
      </c>
      <c r="V24" s="74">
        <v>1.2278</v>
      </c>
      <c r="W24" s="74">
        <v>1.3380000000000001</v>
      </c>
      <c r="X24" s="74">
        <v>1.4139999999999999</v>
      </c>
      <c r="Y24" s="74">
        <v>1.5620000000000001</v>
      </c>
      <c r="Z24" s="74">
        <v>1.6800999999999999</v>
      </c>
      <c r="AA24" s="74">
        <v>1.8932</v>
      </c>
      <c r="AB24" s="74">
        <v>2.0952000000000002</v>
      </c>
      <c r="AC24" s="74">
        <v>2.4378000000000002</v>
      </c>
      <c r="AD24" s="74">
        <v>2.9137</v>
      </c>
      <c r="AE24" s="74">
        <v>3.6206</v>
      </c>
      <c r="AF24" s="74">
        <v>8.7034000000000002</v>
      </c>
    </row>
    <row r="25" spans="1:32" ht="15" thickBot="1" x14ac:dyDescent="0.35">
      <c r="A25" s="21" t="s">
        <v>302</v>
      </c>
      <c r="B25" s="79">
        <v>23</v>
      </c>
      <c r="C25" s="81">
        <v>45.04</v>
      </c>
      <c r="D25" s="75">
        <f t="shared" si="12"/>
        <v>40.89340838932268</v>
      </c>
      <c r="E25" s="75">
        <f t="shared" si="0"/>
        <v>37.380695493401937</v>
      </c>
      <c r="F25" s="75">
        <f t="shared" si="1"/>
        <v>44.079076140144842</v>
      </c>
      <c r="G25" s="75">
        <f t="shared" si="2"/>
        <v>40.565612897415107</v>
      </c>
      <c r="H25" s="75">
        <f t="shared" si="3"/>
        <v>42.378622506586375</v>
      </c>
      <c r="I25" s="75">
        <f t="shared" si="4"/>
        <v>38.704133367706454</v>
      </c>
      <c r="J25" s="75">
        <f t="shared" si="5"/>
        <v>35.239809091620373</v>
      </c>
      <c r="K25" s="75">
        <f t="shared" si="6"/>
        <v>31.426179179458554</v>
      </c>
      <c r="L25" s="75">
        <f t="shared" si="7"/>
        <v>27.394927315856702</v>
      </c>
      <c r="M25" s="75">
        <f t="shared" si="8"/>
        <v>23.087963912241129</v>
      </c>
      <c r="N25" s="75">
        <f t="shared" si="9"/>
        <v>18.457503483321041</v>
      </c>
      <c r="O25" s="75">
        <f t="shared" si="10"/>
        <v>13.453611326841507</v>
      </c>
      <c r="P25" s="75">
        <f t="shared" si="11"/>
        <v>8.026231377860146</v>
      </c>
      <c r="Q25" s="174"/>
      <c r="R25" s="170" t="s">
        <v>302</v>
      </c>
      <c r="S25" s="74">
        <v>1.0143</v>
      </c>
      <c r="T25" s="74">
        <v>1.1013999999999999</v>
      </c>
      <c r="U25" s="74">
        <v>1.2049000000000001</v>
      </c>
      <c r="V25" s="74">
        <v>1.0218</v>
      </c>
      <c r="W25" s="74">
        <v>1.1103000000000001</v>
      </c>
      <c r="X25" s="74">
        <v>1.0628</v>
      </c>
      <c r="Y25" s="74">
        <v>1.1637</v>
      </c>
      <c r="Z25" s="74">
        <v>1.2781</v>
      </c>
      <c r="AA25" s="74">
        <v>1.4332</v>
      </c>
      <c r="AB25" s="74">
        <v>1.6440999999999999</v>
      </c>
      <c r="AC25" s="74">
        <v>1.9508000000000001</v>
      </c>
      <c r="AD25" s="74">
        <v>2.4401999999999999</v>
      </c>
      <c r="AE25" s="74">
        <v>3.3477999999999999</v>
      </c>
      <c r="AF25" s="74">
        <v>5.6116000000000001</v>
      </c>
    </row>
    <row r="26" spans="1:32" ht="15" thickBot="1" x14ac:dyDescent="0.35">
      <c r="A26" s="21" t="s">
        <v>257</v>
      </c>
      <c r="B26" s="79">
        <v>24</v>
      </c>
      <c r="C26" s="81">
        <v>7.11</v>
      </c>
      <c r="D26" s="75">
        <f t="shared" si="12"/>
        <v>6.5235342691990086</v>
      </c>
      <c r="E26" s="75">
        <f t="shared" si="0"/>
        <v>6.1553112284650684</v>
      </c>
      <c r="F26" s="75">
        <f t="shared" si="1"/>
        <v>5.787074719192578</v>
      </c>
      <c r="G26" s="75">
        <f t="shared" si="2"/>
        <v>5.4187942992149987</v>
      </c>
      <c r="H26" s="75">
        <f t="shared" si="3"/>
        <v>5.0504333001846859</v>
      </c>
      <c r="I26" s="75">
        <f t="shared" si="4"/>
        <v>4.6819438956934025</v>
      </c>
      <c r="J26" s="75">
        <f t="shared" si="5"/>
        <v>4.313796869311977</v>
      </c>
      <c r="K26" s="75">
        <f t="shared" si="6"/>
        <v>3.9453970367904114</v>
      </c>
      <c r="L26" s="75">
        <f t="shared" si="7"/>
        <v>3.5771785067417992</v>
      </c>
      <c r="M26" s="75">
        <f t="shared" si="8"/>
        <v>3.2087733549959383</v>
      </c>
      <c r="N26" s="75">
        <f t="shared" si="9"/>
        <v>2.8404778075186772</v>
      </c>
      <c r="O26" s="75">
        <f t="shared" si="10"/>
        <v>2.4721835883171073</v>
      </c>
      <c r="P26" s="75">
        <f t="shared" si="11"/>
        <v>1.1041744316064108</v>
      </c>
      <c r="Q26" s="174"/>
      <c r="R26" s="170" t="s">
        <v>298</v>
      </c>
      <c r="S26" s="74">
        <v>1.0317000000000001</v>
      </c>
      <c r="T26" s="74">
        <v>1.0899000000000001</v>
      </c>
      <c r="U26" s="74">
        <v>1.1551</v>
      </c>
      <c r="V26" s="74">
        <v>1.2285999999999999</v>
      </c>
      <c r="W26" s="74">
        <v>1.3121</v>
      </c>
      <c r="X26" s="74">
        <v>1.4077999999999999</v>
      </c>
      <c r="Y26" s="74">
        <v>1.5185999999999999</v>
      </c>
      <c r="Z26" s="74">
        <v>1.6482000000000001</v>
      </c>
      <c r="AA26" s="74">
        <v>1.8021</v>
      </c>
      <c r="AB26" s="74">
        <v>1.9876</v>
      </c>
      <c r="AC26" s="74">
        <v>2.2158000000000002</v>
      </c>
      <c r="AD26" s="74">
        <v>2.5030999999999999</v>
      </c>
      <c r="AE26" s="74">
        <v>2.8759999999999999</v>
      </c>
      <c r="AF26" s="74">
        <v>6.4391999999999996</v>
      </c>
    </row>
    <row r="27" spans="1:32" ht="15" thickBot="1" x14ac:dyDescent="0.35">
      <c r="A27" s="21" t="s">
        <v>258</v>
      </c>
      <c r="B27" s="79">
        <v>25</v>
      </c>
      <c r="C27" s="81">
        <v>2.0099999999999998</v>
      </c>
      <c r="D27" s="75">
        <f t="shared" si="12"/>
        <v>1.9168415029563226</v>
      </c>
      <c r="E27" s="75">
        <f t="shared" si="0"/>
        <v>1.8236254763200868</v>
      </c>
      <c r="F27" s="75">
        <f t="shared" si="1"/>
        <v>1.7302229491262804</v>
      </c>
      <c r="G27" s="75">
        <f t="shared" si="2"/>
        <v>1.6368078175895764</v>
      </c>
      <c r="H27" s="75">
        <f t="shared" si="3"/>
        <v>1.5431861804222646</v>
      </c>
      <c r="I27" s="75">
        <f t="shared" si="4"/>
        <v>1.4492753623188404</v>
      </c>
      <c r="J27" s="75">
        <f t="shared" si="5"/>
        <v>1.3551779935275079</v>
      </c>
      <c r="K27" s="75">
        <f t="shared" si="6"/>
        <v>1.2607413912061718</v>
      </c>
      <c r="L27" s="75">
        <f t="shared" si="7"/>
        <v>1.1658256481642595</v>
      </c>
      <c r="M27" s="75">
        <f t="shared" si="8"/>
        <v>1.0703445337877415</v>
      </c>
      <c r="N27" s="75">
        <f t="shared" si="9"/>
        <v>0.97407317664162829</v>
      </c>
      <c r="O27" s="75">
        <f t="shared" si="10"/>
        <v>0.87677208287895303</v>
      </c>
      <c r="P27" s="75">
        <f t="shared" si="11"/>
        <v>0.57428571428571418</v>
      </c>
      <c r="Q27" s="174"/>
      <c r="R27" s="170" t="s">
        <v>297</v>
      </c>
      <c r="S27" s="74">
        <v>1.026</v>
      </c>
      <c r="T27" s="74">
        <v>1.0486</v>
      </c>
      <c r="U27" s="74">
        <v>1.1022000000000001</v>
      </c>
      <c r="V27" s="74">
        <v>1.1617</v>
      </c>
      <c r="W27" s="74">
        <v>1.228</v>
      </c>
      <c r="X27" s="74">
        <v>1.3025</v>
      </c>
      <c r="Y27" s="74">
        <v>1.3869</v>
      </c>
      <c r="Z27" s="74">
        <v>1.4832000000000001</v>
      </c>
      <c r="AA27" s="74">
        <v>1.5943000000000001</v>
      </c>
      <c r="AB27" s="74">
        <v>1.7241</v>
      </c>
      <c r="AC27" s="74">
        <v>1.8778999999999999</v>
      </c>
      <c r="AD27" s="74">
        <v>2.0634999999999999</v>
      </c>
      <c r="AE27" s="74">
        <v>2.2925</v>
      </c>
      <c r="AF27" s="74">
        <v>3.5</v>
      </c>
    </row>
    <row r="28" spans="1:32" ht="15" thickBot="1" x14ac:dyDescent="0.35">
      <c r="A28" s="21" t="s">
        <v>259</v>
      </c>
      <c r="B28" s="125">
        <v>26</v>
      </c>
      <c r="C28" s="81">
        <v>13.59</v>
      </c>
      <c r="D28" s="75">
        <f t="shared" si="12"/>
        <v>12.777359909740502</v>
      </c>
      <c r="E28" s="75">
        <f t="shared" si="0"/>
        <v>12.058562555456966</v>
      </c>
      <c r="F28" s="75">
        <f t="shared" si="1"/>
        <v>11.340120160213619</v>
      </c>
      <c r="G28" s="75">
        <f t="shared" si="2"/>
        <v>10.621336459554513</v>
      </c>
      <c r="H28" s="75">
        <f t="shared" si="3"/>
        <v>9.9023608277470121</v>
      </c>
      <c r="I28" s="75">
        <f t="shared" si="4"/>
        <v>9.1830529089803363</v>
      </c>
      <c r="J28" s="75">
        <f t="shared" si="5"/>
        <v>8.4641255605381165</v>
      </c>
      <c r="K28" s="75">
        <f t="shared" si="6"/>
        <v>7.7453550666818654</v>
      </c>
      <c r="L28" s="75">
        <f t="shared" si="7"/>
        <v>6.9950586781964175</v>
      </c>
      <c r="M28" s="75">
        <f t="shared" si="8"/>
        <v>6.1823309980893457</v>
      </c>
      <c r="N28" s="75">
        <f t="shared" si="9"/>
        <v>5.2758259249194461</v>
      </c>
      <c r="O28" s="75">
        <f t="shared" si="10"/>
        <v>3.3436669619131973</v>
      </c>
      <c r="P28" s="75">
        <f t="shared" si="11"/>
        <v>1.7075009423294385</v>
      </c>
      <c r="Q28" s="174"/>
      <c r="R28" s="170" t="s">
        <v>299</v>
      </c>
      <c r="S28" s="74">
        <v>1.0068999999999999</v>
      </c>
      <c r="T28" s="74">
        <v>1.0636000000000001</v>
      </c>
      <c r="U28" s="74">
        <v>1.127</v>
      </c>
      <c r="V28" s="74">
        <v>1.1983999999999999</v>
      </c>
      <c r="W28" s="74">
        <v>1.2795000000000001</v>
      </c>
      <c r="X28" s="74">
        <v>1.3724000000000001</v>
      </c>
      <c r="Y28" s="74">
        <v>1.4799</v>
      </c>
      <c r="Z28" s="74">
        <v>1.6055999999999999</v>
      </c>
      <c r="AA28" s="74">
        <v>1.7545999999999999</v>
      </c>
      <c r="AB28" s="74">
        <v>1.9428000000000001</v>
      </c>
      <c r="AC28" s="74">
        <v>2.1981999999999999</v>
      </c>
      <c r="AD28" s="74">
        <v>2.5758999999999999</v>
      </c>
      <c r="AE28" s="74">
        <v>4.0644</v>
      </c>
      <c r="AF28" s="74">
        <v>7.9589999999999996</v>
      </c>
    </row>
    <row r="30" spans="1:32" x14ac:dyDescent="0.25">
      <c r="A30" s="72" t="s">
        <v>282</v>
      </c>
      <c r="B30" s="80"/>
      <c r="C30" s="15" t="s">
        <v>375</v>
      </c>
      <c r="D30" t="s">
        <v>323</v>
      </c>
      <c r="E30" t="s">
        <v>324</v>
      </c>
      <c r="F30" t="s">
        <v>325</v>
      </c>
      <c r="G30" t="s">
        <v>326</v>
      </c>
      <c r="H30" t="s">
        <v>327</v>
      </c>
      <c r="I30" t="s">
        <v>328</v>
      </c>
      <c r="J30" t="s">
        <v>329</v>
      </c>
      <c r="K30" t="s">
        <v>330</v>
      </c>
      <c r="L30" t="s">
        <v>331</v>
      </c>
      <c r="M30" t="s">
        <v>332</v>
      </c>
      <c r="N30" t="s">
        <v>333</v>
      </c>
      <c r="O30" t="s">
        <v>334</v>
      </c>
      <c r="P30" t="s">
        <v>335</v>
      </c>
      <c r="S30" t="s">
        <v>323</v>
      </c>
      <c r="T30" t="s">
        <v>324</v>
      </c>
      <c r="U30" t="s">
        <v>325</v>
      </c>
      <c r="V30" t="s">
        <v>326</v>
      </c>
      <c r="W30" t="s">
        <v>327</v>
      </c>
      <c r="X30" t="s">
        <v>328</v>
      </c>
      <c r="Y30" t="s">
        <v>329</v>
      </c>
      <c r="Z30" t="s">
        <v>330</v>
      </c>
      <c r="AA30" t="s">
        <v>331</v>
      </c>
      <c r="AB30" t="s">
        <v>332</v>
      </c>
      <c r="AC30" t="s">
        <v>333</v>
      </c>
      <c r="AD30" t="s">
        <v>334</v>
      </c>
      <c r="AE30" t="s">
        <v>335</v>
      </c>
      <c r="AF30" t="s">
        <v>336</v>
      </c>
    </row>
    <row r="31" spans="1:32" ht="15" thickBot="1" x14ac:dyDescent="0.35">
      <c r="R31" s="170"/>
      <c r="S31" s="74"/>
      <c r="T31" s="74"/>
      <c r="U31" s="74"/>
      <c r="V31" s="74"/>
      <c r="W31" s="74"/>
      <c r="X31" s="74"/>
      <c r="Y31" s="74"/>
      <c r="Z31" s="74"/>
      <c r="AA31" s="74"/>
      <c r="AB31" s="74"/>
      <c r="AC31" s="74"/>
      <c r="AD31" s="74"/>
      <c r="AE31" s="74"/>
      <c r="AF31" s="74"/>
    </row>
    <row r="32" spans="1:32" ht="15" thickBot="1" x14ac:dyDescent="0.35">
      <c r="A32" s="73" t="s">
        <v>245</v>
      </c>
      <c r="B32" s="76">
        <v>1</v>
      </c>
      <c r="C32" s="106">
        <v>1.4537037037037039E-4</v>
      </c>
      <c r="D32" s="77">
        <f>IF(S32&gt;0,$C32/S32,"")</f>
        <v>1.4683875794986907E-4</v>
      </c>
      <c r="E32" s="77">
        <f t="shared" ref="E32:E56" si="66">IF(T32&gt;0,$C32/T32,"")</f>
        <v>1.5225216838120066E-4</v>
      </c>
      <c r="F32" s="77">
        <f t="shared" ref="F32:F56" si="67">IF(U32&gt;0,$C32/U32,"")</f>
        <v>1.5808000257761025E-4</v>
      </c>
      <c r="G32" s="77">
        <f t="shared" ref="G32:G56" si="68">IF(V32&gt;0,$C32/V32,"")</f>
        <v>1.6437174397373403E-4</v>
      </c>
      <c r="H32" s="77">
        <f t="shared" ref="H32:H56" si="69">IF(W32&gt;0,$C32/W32,"")</f>
        <v>1.7118508051150542E-4</v>
      </c>
      <c r="I32" s="77">
        <f t="shared" ref="I32:I56" si="70">IF(X32&gt;0,$C32/X32,"")</f>
        <v>1.7858767858767861E-4</v>
      </c>
      <c r="J32" s="77">
        <f t="shared" ref="J32:J56" si="71">IF(Y32&gt;0,$C32/Y32,"")</f>
        <v>1.8665943807186745E-4</v>
      </c>
      <c r="K32" s="77">
        <f t="shared" ref="K32:K56" si="72">IF(Z32&gt;0,$C32/Z32,"")</f>
        <v>1.9655269114436232E-4</v>
      </c>
      <c r="L32" s="77">
        <f t="shared" ref="L32:L56" si="73">IF(AA32&gt;0,$C32/AA32,"")</f>
        <v>2.0916600053290705E-4</v>
      </c>
      <c r="M32" s="77">
        <f t="shared" ref="M32:M56" si="74">IF(AB32&gt;0,$C32/AB32,"")</f>
        <v>2.2643359870774203E-4</v>
      </c>
      <c r="N32" s="77">
        <f t="shared" ref="N32:N56" si="75">IF(AC32&gt;0,$C32/AC32,"")</f>
        <v>2.5237911522633748E-4</v>
      </c>
      <c r="O32" s="77">
        <f t="shared" ref="O32:O56" si="76">IF(AD32&gt;0,$C32/AD32,"")</f>
        <v>2.9619064867638626E-4</v>
      </c>
      <c r="P32" s="77">
        <f t="shared" ref="P32:P56" si="77">IF(AE32&gt;0,$C32/AE32,"")</f>
        <v>3.8396822601788268E-4</v>
      </c>
      <c r="R32" s="170" t="s">
        <v>245</v>
      </c>
      <c r="S32" s="74">
        <v>0.99</v>
      </c>
      <c r="T32" s="74">
        <v>0.95479999999999998</v>
      </c>
      <c r="U32" s="74">
        <v>0.91959999999999997</v>
      </c>
      <c r="V32" s="74">
        <v>0.88439999999999996</v>
      </c>
      <c r="W32" s="74">
        <v>0.84919999999999995</v>
      </c>
      <c r="X32" s="74">
        <v>0.81399999999999995</v>
      </c>
      <c r="Y32" s="74">
        <v>0.77880000000000005</v>
      </c>
      <c r="Z32" s="74">
        <v>0.73960000000000004</v>
      </c>
      <c r="AA32" s="74">
        <v>0.69499999999999995</v>
      </c>
      <c r="AB32" s="74">
        <v>0.64200000000000002</v>
      </c>
      <c r="AC32" s="74">
        <v>0.57599999999999996</v>
      </c>
      <c r="AD32" s="74">
        <v>0.49080000000000001</v>
      </c>
      <c r="AE32" s="74">
        <v>0.37859999999999999</v>
      </c>
      <c r="AF32" s="74">
        <v>0.27060000000000001</v>
      </c>
    </row>
    <row r="33" spans="1:32" ht="13.8" thickBot="1" x14ac:dyDescent="0.3">
      <c r="A33" s="73" t="s">
        <v>279</v>
      </c>
      <c r="B33" s="76">
        <v>2</v>
      </c>
      <c r="C33" s="106">
        <v>2.3356481481481481E-4</v>
      </c>
      <c r="D33" s="77">
        <f t="shared" ref="D33:D56" si="78">IF(S33&gt;0,$C33/S33,"")</f>
        <v>2.383071266348483E-4</v>
      </c>
      <c r="E33" s="77">
        <f t="shared" si="66"/>
        <v>2.4728937513479599E-4</v>
      </c>
      <c r="F33" s="77">
        <f t="shared" si="67"/>
        <v>2.5697526110112753E-4</v>
      </c>
      <c r="G33" s="77">
        <f t="shared" si="68"/>
        <v>2.6745083569771537E-4</v>
      </c>
      <c r="H33" s="77">
        <f t="shared" si="69"/>
        <v>2.7881677786178202E-4</v>
      </c>
      <c r="I33" s="77">
        <f t="shared" si="70"/>
        <v>2.9119164046230493E-4</v>
      </c>
      <c r="J33" s="77">
        <f t="shared" si="71"/>
        <v>3.0471600106303303E-4</v>
      </c>
      <c r="K33" s="77">
        <f t="shared" si="72"/>
        <v>3.2296019747623725E-4</v>
      </c>
      <c r="L33" s="77">
        <f t="shared" si="73"/>
        <v>3.4615015163366405E-4</v>
      </c>
      <c r="M33" s="77">
        <f t="shared" si="74"/>
        <v>3.8049167518907685E-4</v>
      </c>
      <c r="N33" s="77">
        <f t="shared" si="75"/>
        <v>4.3689639883055521E-4</v>
      </c>
      <c r="O33" s="77">
        <f t="shared" si="76"/>
        <v>5.4904751954587398E-4</v>
      </c>
      <c r="P33" s="77">
        <f t="shared" si="77"/>
        <v>6.947198537026021E-4</v>
      </c>
      <c r="R33" s="171" t="s">
        <v>279</v>
      </c>
      <c r="S33" s="48">
        <f>(S32+S34)/2</f>
        <v>0.98009999999999997</v>
      </c>
      <c r="T33" s="48">
        <f t="shared" ref="T33" si="79">(T32+T34)/2</f>
        <v>0.94450000000000001</v>
      </c>
      <c r="U33" s="48">
        <f t="shared" ref="U33" si="80">(U32+U34)/2</f>
        <v>0.90890000000000004</v>
      </c>
      <c r="V33" s="48">
        <f t="shared" ref="V33" si="81">(V32+V34)/2</f>
        <v>0.87329999999999997</v>
      </c>
      <c r="W33" s="48">
        <f t="shared" ref="W33" si="82">(W32+W34)/2</f>
        <v>0.8377</v>
      </c>
      <c r="X33" s="48">
        <f t="shared" ref="X33" si="83">(X32+X34)/2</f>
        <v>0.80210000000000004</v>
      </c>
      <c r="Y33" s="48">
        <f t="shared" ref="Y33" si="84">(Y32+Y34)/2</f>
        <v>0.76649999999999996</v>
      </c>
      <c r="Z33" s="48">
        <f t="shared" ref="Z33" si="85">(Z32+Z34)/2</f>
        <v>0.72320000000000007</v>
      </c>
      <c r="AA33" s="48">
        <f t="shared" ref="AA33" si="86">(AA32+AA34)/2</f>
        <v>0.67474999999999996</v>
      </c>
      <c r="AB33" s="48">
        <f t="shared" ref="AB33" si="87">(AB32+AB34)/2</f>
        <v>0.61385000000000001</v>
      </c>
      <c r="AC33" s="48">
        <f t="shared" ref="AC33" si="88">(AC32+AC34)/2</f>
        <v>0.53459999999999996</v>
      </c>
      <c r="AD33" s="48">
        <f t="shared" ref="AD33" si="89">(AD32+AD34)/2</f>
        <v>0.4254</v>
      </c>
      <c r="AE33" s="48">
        <f t="shared" ref="AE33" si="90">(AE32+AE34)/2</f>
        <v>0.3362</v>
      </c>
      <c r="AF33" s="48">
        <f t="shared" ref="AF33" si="91">(AF32+AF34)/2</f>
        <v>0.23115000000000002</v>
      </c>
    </row>
    <row r="34" spans="1:32" ht="15" thickBot="1" x14ac:dyDescent="0.35">
      <c r="A34" s="73" t="s">
        <v>246</v>
      </c>
      <c r="B34" s="76">
        <v>3</v>
      </c>
      <c r="C34" s="106">
        <v>3.0185185185185181E-4</v>
      </c>
      <c r="D34" s="77">
        <f t="shared" si="78"/>
        <v>3.1112332699634283E-4</v>
      </c>
      <c r="E34" s="77">
        <f t="shared" si="66"/>
        <v>3.2311266522356218E-4</v>
      </c>
      <c r="F34" s="77">
        <f t="shared" si="67"/>
        <v>3.3606307264735227E-4</v>
      </c>
      <c r="G34" s="77">
        <f t="shared" si="68"/>
        <v>3.5009493371822292E-4</v>
      </c>
      <c r="H34" s="77">
        <f t="shared" si="69"/>
        <v>3.653496149259886E-4</v>
      </c>
      <c r="I34" s="77">
        <f t="shared" si="70"/>
        <v>3.8199424430758266E-4</v>
      </c>
      <c r="J34" s="77">
        <f t="shared" si="71"/>
        <v>4.0022785978765819E-4</v>
      </c>
      <c r="K34" s="77">
        <f t="shared" si="72"/>
        <v>4.2706826804166922E-4</v>
      </c>
      <c r="L34" s="77">
        <f t="shared" si="73"/>
        <v>4.611945788416376E-4</v>
      </c>
      <c r="M34" s="77">
        <f t="shared" si="74"/>
        <v>5.1536939021999629E-4</v>
      </c>
      <c r="N34" s="77">
        <f t="shared" si="75"/>
        <v>6.1202727463879111E-4</v>
      </c>
      <c r="O34" s="77">
        <f t="shared" si="76"/>
        <v>8.3847736625514396E-4</v>
      </c>
      <c r="P34" s="77">
        <f t="shared" si="77"/>
        <v>1.0274058946625317E-3</v>
      </c>
      <c r="R34" s="170" t="s">
        <v>246</v>
      </c>
      <c r="S34" s="74">
        <v>0.97019999999999995</v>
      </c>
      <c r="T34" s="74">
        <v>0.93420000000000003</v>
      </c>
      <c r="U34" s="74">
        <v>0.8982</v>
      </c>
      <c r="V34" s="74">
        <v>0.86219999999999997</v>
      </c>
      <c r="W34" s="74">
        <v>0.82620000000000005</v>
      </c>
      <c r="X34" s="74">
        <v>0.79020000000000001</v>
      </c>
      <c r="Y34" s="74">
        <v>0.75419999999999998</v>
      </c>
      <c r="Z34" s="74">
        <v>0.70679999999999998</v>
      </c>
      <c r="AA34" s="74">
        <v>0.65449999999999997</v>
      </c>
      <c r="AB34" s="74">
        <v>0.5857</v>
      </c>
      <c r="AC34" s="74">
        <v>0.49320000000000003</v>
      </c>
      <c r="AD34" s="74">
        <v>0.36</v>
      </c>
      <c r="AE34" s="74">
        <v>0.29380000000000001</v>
      </c>
      <c r="AF34" s="74">
        <v>0.19170000000000001</v>
      </c>
    </row>
    <row r="35" spans="1:32" ht="15" thickBot="1" x14ac:dyDescent="0.35">
      <c r="A35" s="73" t="s">
        <v>283</v>
      </c>
      <c r="B35" s="76">
        <v>4</v>
      </c>
      <c r="C35" s="106">
        <v>4.9861111111111102E-4</v>
      </c>
      <c r="D35" s="77">
        <f t="shared" si="78"/>
        <v>5.1136978730435465E-4</v>
      </c>
      <c r="E35" s="77">
        <f t="shared" si="66"/>
        <v>5.3233450180015056E-4</v>
      </c>
      <c r="F35" s="77">
        <f t="shared" si="67"/>
        <v>5.5509169063302089E-4</v>
      </c>
      <c r="G35" s="77">
        <f t="shared" si="68"/>
        <v>5.7988150387987562E-4</v>
      </c>
      <c r="H35" s="77">
        <f t="shared" si="69"/>
        <v>6.0698899642231546E-4</v>
      </c>
      <c r="I35" s="77">
        <f t="shared" si="70"/>
        <v>6.3854915939183065E-4</v>
      </c>
      <c r="J35" s="77">
        <f t="shared" si="71"/>
        <v>6.7640386774891277E-4</v>
      </c>
      <c r="K35" s="77">
        <f t="shared" si="72"/>
        <v>7.2949687068194738E-4</v>
      </c>
      <c r="L35" s="77">
        <f t="shared" si="73"/>
        <v>8.0201240326702769E-4</v>
      </c>
      <c r="M35" s="77">
        <f t="shared" si="74"/>
        <v>9.1631188295710929E-4</v>
      </c>
      <c r="N35" s="77">
        <f t="shared" si="75"/>
        <v>1.120348525134504E-3</v>
      </c>
      <c r="O35" s="77">
        <f t="shared" si="76"/>
        <v>1.5917353906180717E-3</v>
      </c>
      <c r="P35" s="77">
        <f t="shared" si="77"/>
        <v>1.9669077361385051E-3</v>
      </c>
      <c r="R35" s="170" t="s">
        <v>283</v>
      </c>
      <c r="S35" s="48">
        <f>(S34+S36)/2</f>
        <v>0.97504999999999997</v>
      </c>
      <c r="T35" s="48">
        <f t="shared" ref="T35" si="92">(T34+T36)/2</f>
        <v>0.93664999999999998</v>
      </c>
      <c r="U35" s="48">
        <f t="shared" ref="U35" si="93">(U34+U36)/2</f>
        <v>0.89824999999999999</v>
      </c>
      <c r="V35" s="48">
        <f t="shared" ref="V35" si="94">(V34+V36)/2</f>
        <v>0.85985</v>
      </c>
      <c r="W35" s="48">
        <f t="shared" ref="W35" si="95">(W34+W36)/2</f>
        <v>0.82145000000000001</v>
      </c>
      <c r="X35" s="48">
        <f t="shared" ref="X35" si="96">(X34+X36)/2</f>
        <v>0.78085000000000004</v>
      </c>
      <c r="Y35" s="48">
        <f t="shared" ref="Y35" si="97">(Y34+Y36)/2</f>
        <v>0.73714999999999997</v>
      </c>
      <c r="Z35" s="48">
        <f t="shared" ref="Z35" si="98">(Z34+Z36)/2</f>
        <v>0.6835</v>
      </c>
      <c r="AA35" s="48">
        <f t="shared" ref="AA35" si="99">(AA34+AA36)/2</f>
        <v>0.62169999999999992</v>
      </c>
      <c r="AB35" s="48">
        <f t="shared" ref="AB35" si="100">(AB34+AB36)/2</f>
        <v>0.54415000000000002</v>
      </c>
      <c r="AC35" s="48">
        <f t="shared" ref="AC35" si="101">(AC34+AC36)/2</f>
        <v>0.44505</v>
      </c>
      <c r="AD35" s="48">
        <f t="shared" ref="AD35" si="102">(AD34+AD36)/2</f>
        <v>0.31325000000000003</v>
      </c>
      <c r="AE35" s="48">
        <f t="shared" ref="AE35" si="103">(AE34+AE36)/2</f>
        <v>0.2535</v>
      </c>
      <c r="AF35" s="48">
        <f t="shared" ref="AF35" si="104">(AF34+AF36)/2</f>
        <v>0.17710000000000001</v>
      </c>
    </row>
    <row r="36" spans="1:32" ht="15" thickBot="1" x14ac:dyDescent="0.35">
      <c r="A36" s="73" t="s">
        <v>247</v>
      </c>
      <c r="B36" s="76">
        <v>5</v>
      </c>
      <c r="C36" s="106">
        <v>6.8333333333333343E-4</v>
      </c>
      <c r="D36" s="77">
        <f t="shared" si="78"/>
        <v>6.9735006973500706E-4</v>
      </c>
      <c r="E36" s="77">
        <f t="shared" si="66"/>
        <v>7.2764703794413101E-4</v>
      </c>
      <c r="F36" s="77">
        <f t="shared" si="67"/>
        <v>7.6069612972652059E-4</v>
      </c>
      <c r="G36" s="77">
        <f t="shared" si="68"/>
        <v>7.9689018464528677E-4</v>
      </c>
      <c r="H36" s="77">
        <f t="shared" si="69"/>
        <v>8.367005428349865E-4</v>
      </c>
      <c r="I36" s="77">
        <f t="shared" si="70"/>
        <v>8.8572045798228577E-4</v>
      </c>
      <c r="J36" s="77">
        <f t="shared" si="71"/>
        <v>9.4894227653566647E-4</v>
      </c>
      <c r="K36" s="77">
        <f t="shared" si="72"/>
        <v>1.0350398869029588E-3</v>
      </c>
      <c r="L36" s="77">
        <f t="shared" si="73"/>
        <v>1.1603554649912268E-3</v>
      </c>
      <c r="M36" s="77">
        <f t="shared" si="74"/>
        <v>1.359596763496485E-3</v>
      </c>
      <c r="N36" s="77">
        <f t="shared" si="75"/>
        <v>1.7216763248509284E-3</v>
      </c>
      <c r="O36" s="77">
        <f t="shared" si="76"/>
        <v>2.5641025641025641E-3</v>
      </c>
      <c r="P36" s="77">
        <f t="shared" si="77"/>
        <v>3.2051282051282055E-3</v>
      </c>
      <c r="R36" s="170" t="s">
        <v>247</v>
      </c>
      <c r="S36" s="74">
        <v>0.97989999999999999</v>
      </c>
      <c r="T36" s="74">
        <v>0.93910000000000005</v>
      </c>
      <c r="U36" s="74">
        <v>0.89829999999999999</v>
      </c>
      <c r="V36" s="74">
        <v>0.85750000000000004</v>
      </c>
      <c r="W36" s="74">
        <v>0.81669999999999998</v>
      </c>
      <c r="X36" s="74">
        <v>0.77149999999999996</v>
      </c>
      <c r="Y36" s="74">
        <v>0.72009999999999996</v>
      </c>
      <c r="Z36" s="74">
        <v>0.66020000000000001</v>
      </c>
      <c r="AA36" s="74">
        <v>0.58889999999999998</v>
      </c>
      <c r="AB36" s="74">
        <v>0.50260000000000005</v>
      </c>
      <c r="AC36" s="74">
        <v>0.39689999999999998</v>
      </c>
      <c r="AD36" s="74">
        <v>0.26650000000000001</v>
      </c>
      <c r="AE36" s="74">
        <v>0.2132</v>
      </c>
      <c r="AF36" s="74">
        <v>0.16250000000000001</v>
      </c>
    </row>
    <row r="37" spans="1:32" ht="15" thickBot="1" x14ac:dyDescent="0.35">
      <c r="A37" s="73" t="s">
        <v>277</v>
      </c>
      <c r="B37" s="76">
        <v>6</v>
      </c>
      <c r="C37" s="106">
        <v>1.252199074074074E-3</v>
      </c>
      <c r="D37" s="77">
        <f t="shared" si="78"/>
        <v>1.268049695264885E-3</v>
      </c>
      <c r="E37" s="77">
        <f t="shared" si="66"/>
        <v>1.3231182101374407E-3</v>
      </c>
      <c r="F37" s="77">
        <f t="shared" si="67"/>
        <v>1.3831868707324356E-3</v>
      </c>
      <c r="G37" s="77">
        <f t="shared" si="68"/>
        <v>1.4489690743740729E-3</v>
      </c>
      <c r="H37" s="77">
        <f t="shared" si="69"/>
        <v>1.521320707172973E-3</v>
      </c>
      <c r="I37" s="77">
        <f t="shared" si="70"/>
        <v>1.6092001208945241E-3</v>
      </c>
      <c r="J37" s="77">
        <f t="shared" si="71"/>
        <v>1.7220643252067304E-3</v>
      </c>
      <c r="K37" s="77">
        <f t="shared" si="72"/>
        <v>1.8753917538925776E-3</v>
      </c>
      <c r="L37" s="77">
        <f t="shared" si="73"/>
        <v>2.0971346073925205E-3</v>
      </c>
      <c r="M37" s="77">
        <f t="shared" si="74"/>
        <v>2.4442691276089674E-3</v>
      </c>
      <c r="N37" s="77">
        <f t="shared" si="75"/>
        <v>3.0552618618374383E-3</v>
      </c>
      <c r="O37" s="77">
        <f t="shared" si="76"/>
        <v>4.3806159666750872E-3</v>
      </c>
      <c r="P37" s="77">
        <f t="shared" si="77"/>
        <v>5.3444262657877679E-3</v>
      </c>
      <c r="R37" s="170" t="s">
        <v>277</v>
      </c>
      <c r="S37" s="48">
        <f>(S36+S38)/2</f>
        <v>0.98750000000000004</v>
      </c>
      <c r="T37" s="48">
        <f t="shared" ref="T37" si="105">(T36+T38)/2</f>
        <v>0.94640000000000002</v>
      </c>
      <c r="U37" s="48">
        <f t="shared" ref="U37" si="106">(U36+U38)/2</f>
        <v>0.90529999999999999</v>
      </c>
      <c r="V37" s="48">
        <f t="shared" ref="V37" si="107">(V36+V38)/2</f>
        <v>0.86420000000000008</v>
      </c>
      <c r="W37" s="48">
        <f t="shared" ref="W37" si="108">(W36+W38)/2</f>
        <v>0.82309999999999994</v>
      </c>
      <c r="X37" s="48">
        <f t="shared" ref="X37" si="109">(X36+X38)/2</f>
        <v>0.77815000000000001</v>
      </c>
      <c r="Y37" s="48">
        <f t="shared" ref="Y37" si="110">(Y36+Y38)/2</f>
        <v>0.72714999999999996</v>
      </c>
      <c r="Z37" s="48">
        <f t="shared" ref="Z37" si="111">(Z36+Z38)/2</f>
        <v>0.66769999999999996</v>
      </c>
      <c r="AA37" s="48">
        <f t="shared" ref="AA37" si="112">(AA36+AA38)/2</f>
        <v>0.59709999999999996</v>
      </c>
      <c r="AB37" s="48">
        <f t="shared" ref="AB37" si="113">(AB36+AB38)/2</f>
        <v>0.51229999999999998</v>
      </c>
      <c r="AC37" s="48">
        <f t="shared" ref="AC37" si="114">(AC36+AC38)/2</f>
        <v>0.40984999999999999</v>
      </c>
      <c r="AD37" s="48">
        <f t="shared" ref="AD37" si="115">(AD36+AD38)/2</f>
        <v>0.28585000000000005</v>
      </c>
      <c r="AE37" s="48">
        <f t="shared" ref="AE37" si="116">(AE36+AE38)/2</f>
        <v>0.23430000000000001</v>
      </c>
      <c r="AF37" s="48">
        <f t="shared" ref="AF37" si="117">(AF36+AF38)/2</f>
        <v>0.18159999999999998</v>
      </c>
    </row>
    <row r="38" spans="1:32" ht="15" thickBot="1" x14ac:dyDescent="0.35">
      <c r="A38" s="73" t="s">
        <v>248</v>
      </c>
      <c r="B38" s="76">
        <v>7</v>
      </c>
      <c r="C38" s="106">
        <v>1.5891203703703701E-3</v>
      </c>
      <c r="D38" s="77">
        <f t="shared" si="78"/>
        <v>1.5969454028443072E-3</v>
      </c>
      <c r="E38" s="77">
        <f t="shared" si="66"/>
        <v>1.6662686068683759E-3</v>
      </c>
      <c r="F38" s="77">
        <f t="shared" si="67"/>
        <v>1.7418835584460924E-3</v>
      </c>
      <c r="G38" s="77">
        <f t="shared" si="68"/>
        <v>1.8246875305665061E-3</v>
      </c>
      <c r="H38" s="77">
        <f t="shared" si="69"/>
        <v>1.915756926305449E-3</v>
      </c>
      <c r="I38" s="77">
        <f t="shared" si="70"/>
        <v>2.0248730509306446E-3</v>
      </c>
      <c r="J38" s="77">
        <f t="shared" si="71"/>
        <v>2.1644243671620407E-3</v>
      </c>
      <c r="K38" s="77">
        <f t="shared" si="72"/>
        <v>2.3535550509039839E-3</v>
      </c>
      <c r="L38" s="77">
        <f t="shared" si="73"/>
        <v>2.6253434170995706E-3</v>
      </c>
      <c r="M38" s="77">
        <f t="shared" si="74"/>
        <v>3.0442918972612451E-3</v>
      </c>
      <c r="N38" s="77">
        <f t="shared" si="75"/>
        <v>3.7585628438277438E-3</v>
      </c>
      <c r="O38" s="77">
        <f t="shared" si="76"/>
        <v>5.2068164166788004E-3</v>
      </c>
      <c r="P38" s="77">
        <f t="shared" si="77"/>
        <v>6.2220844572058341E-3</v>
      </c>
      <c r="R38" s="170" t="s">
        <v>248</v>
      </c>
      <c r="S38" s="74">
        <v>0.99509999999999998</v>
      </c>
      <c r="T38" s="74">
        <v>0.95369999999999999</v>
      </c>
      <c r="U38" s="74">
        <v>0.9123</v>
      </c>
      <c r="V38" s="74">
        <v>0.87090000000000001</v>
      </c>
      <c r="W38" s="74">
        <v>0.82950000000000002</v>
      </c>
      <c r="X38" s="74">
        <v>0.78480000000000005</v>
      </c>
      <c r="Y38" s="74">
        <v>0.73419999999999996</v>
      </c>
      <c r="Z38" s="74">
        <v>0.67520000000000002</v>
      </c>
      <c r="AA38" s="74">
        <v>0.60529999999999995</v>
      </c>
      <c r="AB38" s="74">
        <v>0.52200000000000002</v>
      </c>
      <c r="AC38" s="74">
        <v>0.42280000000000001</v>
      </c>
      <c r="AD38" s="74">
        <v>0.30520000000000003</v>
      </c>
      <c r="AE38" s="74">
        <v>0.25540000000000002</v>
      </c>
      <c r="AF38" s="74">
        <v>0.20069999999999999</v>
      </c>
    </row>
    <row r="39" spans="1:32" ht="15" thickBot="1" x14ac:dyDescent="0.35">
      <c r="A39" s="73" t="s">
        <v>249</v>
      </c>
      <c r="B39" s="76">
        <v>8</v>
      </c>
      <c r="C39" s="106">
        <v>2.1261574074074073E-3</v>
      </c>
      <c r="D39" s="77">
        <f t="shared" si="78"/>
        <v>2.1415767600799834E-3</v>
      </c>
      <c r="E39" s="77">
        <f t="shared" si="66"/>
        <v>2.2293775898158826E-3</v>
      </c>
      <c r="F39" s="77">
        <f t="shared" si="67"/>
        <v>2.32468555369277E-3</v>
      </c>
      <c r="G39" s="77">
        <f t="shared" si="68"/>
        <v>2.4285064619159421E-3</v>
      </c>
      <c r="H39" s="77">
        <f t="shared" si="69"/>
        <v>2.5420342030217685E-3</v>
      </c>
      <c r="I39" s="77">
        <f t="shared" si="70"/>
        <v>2.66837024022014E-3</v>
      </c>
      <c r="J39" s="77">
        <f t="shared" si="71"/>
        <v>2.8120055646176528E-3</v>
      </c>
      <c r="K39" s="77">
        <f t="shared" si="72"/>
        <v>2.9899555722224828E-3</v>
      </c>
      <c r="L39" s="77">
        <f t="shared" si="73"/>
        <v>3.2273184690458519E-3</v>
      </c>
      <c r="M39" s="77">
        <f t="shared" si="74"/>
        <v>3.5721730635205101E-3</v>
      </c>
      <c r="N39" s="77">
        <f t="shared" si="75"/>
        <v>4.126057456641582E-3</v>
      </c>
      <c r="O39" s="77">
        <f t="shared" si="76"/>
        <v>5.1518231340135865E-3</v>
      </c>
      <c r="P39" s="77">
        <f t="shared" si="77"/>
        <v>7.617905436787557E-3</v>
      </c>
      <c r="R39" s="170" t="s">
        <v>249</v>
      </c>
      <c r="S39" s="74">
        <v>0.99280000000000002</v>
      </c>
      <c r="T39" s="74">
        <v>0.95369999999999999</v>
      </c>
      <c r="U39" s="74">
        <v>0.91459999999999997</v>
      </c>
      <c r="V39" s="74">
        <v>0.87549999999999994</v>
      </c>
      <c r="W39" s="74">
        <v>0.83640000000000003</v>
      </c>
      <c r="X39" s="74">
        <v>0.79679999999999995</v>
      </c>
      <c r="Y39" s="74">
        <v>0.75609999999999999</v>
      </c>
      <c r="Z39" s="74">
        <v>0.71109999999999995</v>
      </c>
      <c r="AA39" s="74">
        <v>0.65880000000000005</v>
      </c>
      <c r="AB39" s="74">
        <v>0.59519999999999995</v>
      </c>
      <c r="AC39" s="74">
        <v>0.51529999999999998</v>
      </c>
      <c r="AD39" s="74">
        <v>0.41270000000000001</v>
      </c>
      <c r="AE39" s="74">
        <v>0.27910000000000001</v>
      </c>
      <c r="AF39" s="74">
        <v>0.1908</v>
      </c>
    </row>
    <row r="40" spans="1:32" ht="15" thickBot="1" x14ac:dyDescent="0.35">
      <c r="A40" s="73" t="s">
        <v>250</v>
      </c>
      <c r="B40" s="76">
        <v>9</v>
      </c>
      <c r="C40" s="106">
        <v>3.2245370370370375E-3</v>
      </c>
      <c r="D40" s="77">
        <f t="shared" si="78"/>
        <v>3.2663462692838711E-3</v>
      </c>
      <c r="E40" s="77">
        <f t="shared" si="66"/>
        <v>3.409682813827892E-3</v>
      </c>
      <c r="F40" s="77">
        <f t="shared" si="67"/>
        <v>3.5661767717728794E-3</v>
      </c>
      <c r="G40" s="77">
        <f t="shared" si="68"/>
        <v>3.7377269468378779E-3</v>
      </c>
      <c r="H40" s="77">
        <f t="shared" si="69"/>
        <v>3.9266159730114922E-3</v>
      </c>
      <c r="I40" s="77">
        <f t="shared" si="70"/>
        <v>4.1558667831383391E-3</v>
      </c>
      <c r="J40" s="77">
        <f t="shared" si="71"/>
        <v>4.4525504515838688E-3</v>
      </c>
      <c r="K40" s="77">
        <f t="shared" si="72"/>
        <v>4.8598900332133196E-3</v>
      </c>
      <c r="L40" s="77">
        <f t="shared" si="73"/>
        <v>5.45422367563775E-3</v>
      </c>
      <c r="M40" s="77">
        <f t="shared" si="74"/>
        <v>6.3890173113474091E-3</v>
      </c>
      <c r="N40" s="77">
        <f t="shared" si="75"/>
        <v>8.0332263005407009E-3</v>
      </c>
      <c r="O40" s="77">
        <f t="shared" si="76"/>
        <v>1.0269226232602031E-2</v>
      </c>
      <c r="P40" s="77">
        <f t="shared" si="77"/>
        <v>1.613075056046542E-2</v>
      </c>
      <c r="R40" s="170" t="s">
        <v>250</v>
      </c>
      <c r="S40" s="74">
        <v>0.98719999999999997</v>
      </c>
      <c r="T40" s="74">
        <v>0.94569999999999999</v>
      </c>
      <c r="U40" s="74">
        <v>0.9042</v>
      </c>
      <c r="V40" s="74">
        <v>0.86270000000000002</v>
      </c>
      <c r="W40" s="74">
        <v>0.82120000000000004</v>
      </c>
      <c r="X40" s="74">
        <v>0.77590000000000003</v>
      </c>
      <c r="Y40" s="74">
        <v>0.72419999999999995</v>
      </c>
      <c r="Z40" s="74">
        <v>0.66349999999999998</v>
      </c>
      <c r="AA40" s="74">
        <v>0.59119999999999995</v>
      </c>
      <c r="AB40" s="74">
        <v>0.50470000000000004</v>
      </c>
      <c r="AC40" s="74">
        <v>0.40139999999999998</v>
      </c>
      <c r="AD40" s="74">
        <v>0.314</v>
      </c>
      <c r="AE40" s="74">
        <v>0.19989999999999999</v>
      </c>
      <c r="AF40" s="74">
        <v>0.16980000000000001</v>
      </c>
    </row>
    <row r="41" spans="1:32" ht="15" thickBot="1" x14ac:dyDescent="0.35">
      <c r="A41" s="73" t="s">
        <v>251</v>
      </c>
      <c r="B41" s="76">
        <v>10</v>
      </c>
      <c r="C41" s="106">
        <v>3.5543981481481481E-3</v>
      </c>
      <c r="D41" s="77">
        <f t="shared" si="78"/>
        <v>3.5772928222102939E-3</v>
      </c>
      <c r="E41" s="77">
        <f t="shared" si="66"/>
        <v>3.7357697705062251E-3</v>
      </c>
      <c r="F41" s="77">
        <f t="shared" si="67"/>
        <v>3.9089389070143497E-3</v>
      </c>
      <c r="G41" s="77">
        <f t="shared" si="68"/>
        <v>4.0989426836742756E-3</v>
      </c>
      <c r="H41" s="77">
        <f t="shared" si="69"/>
        <v>4.3114970258953762E-3</v>
      </c>
      <c r="I41" s="77">
        <f t="shared" si="70"/>
        <v>4.5680479991622516E-3</v>
      </c>
      <c r="J41" s="77">
        <f t="shared" si="71"/>
        <v>4.8965396723352362E-3</v>
      </c>
      <c r="K41" s="77">
        <f t="shared" si="72"/>
        <v>5.3433525979376846E-3</v>
      </c>
      <c r="L41" s="77">
        <f t="shared" si="73"/>
        <v>5.9919051721984973E-3</v>
      </c>
      <c r="M41" s="77">
        <f t="shared" si="74"/>
        <v>7.0127220048301232E-3</v>
      </c>
      <c r="N41" s="77">
        <f t="shared" si="75"/>
        <v>8.8187523834465896E-3</v>
      </c>
      <c r="O41" s="77">
        <f t="shared" si="76"/>
        <v>1.0696353139175888E-2</v>
      </c>
      <c r="P41" s="77">
        <f t="shared" si="77"/>
        <v>1.682953668630752E-2</v>
      </c>
      <c r="R41" s="170" t="s">
        <v>251</v>
      </c>
      <c r="S41">
        <f t="shared" ref="S41:AF41" si="118">(S40+S43)/2</f>
        <v>0.99360000000000004</v>
      </c>
      <c r="T41" s="48">
        <f t="shared" si="118"/>
        <v>0.95145000000000002</v>
      </c>
      <c r="U41" s="48">
        <f t="shared" si="118"/>
        <v>0.9093</v>
      </c>
      <c r="V41" s="48">
        <f t="shared" si="118"/>
        <v>0.86715000000000009</v>
      </c>
      <c r="W41" s="48">
        <f t="shared" si="118"/>
        <v>0.82440000000000002</v>
      </c>
      <c r="X41" s="48">
        <f t="shared" si="118"/>
        <v>0.77810000000000001</v>
      </c>
      <c r="Y41" s="48">
        <f t="shared" si="118"/>
        <v>0.72589999999999999</v>
      </c>
      <c r="Z41" s="48">
        <f t="shared" si="118"/>
        <v>0.66520000000000001</v>
      </c>
      <c r="AA41" s="48">
        <f t="shared" si="118"/>
        <v>0.59319999999999995</v>
      </c>
      <c r="AB41" s="48">
        <f t="shared" si="118"/>
        <v>0.50685000000000002</v>
      </c>
      <c r="AC41" s="48">
        <f t="shared" si="118"/>
        <v>0.40305000000000002</v>
      </c>
      <c r="AD41" s="48">
        <f t="shared" si="118"/>
        <v>0.33230000000000004</v>
      </c>
      <c r="AE41" s="48">
        <f t="shared" si="118"/>
        <v>0.2112</v>
      </c>
      <c r="AF41" s="48">
        <f t="shared" si="118"/>
        <v>0.17330000000000001</v>
      </c>
    </row>
    <row r="42" spans="1:32" ht="15" thickBot="1" x14ac:dyDescent="0.35">
      <c r="A42" s="73" t="s">
        <v>252</v>
      </c>
      <c r="B42" s="76">
        <v>11</v>
      </c>
      <c r="C42" s="106">
        <v>4.7418981481481479E-3</v>
      </c>
      <c r="D42" s="77">
        <f t="shared" si="78"/>
        <v>4.7571209351405979E-3</v>
      </c>
      <c r="E42" s="77">
        <f t="shared" si="66"/>
        <v>4.9688503896975844E-3</v>
      </c>
      <c r="F42" s="77">
        <f t="shared" si="67"/>
        <v>5.2003050371751359E-3</v>
      </c>
      <c r="G42" s="77">
        <f t="shared" si="68"/>
        <v>5.4543760151236787E-3</v>
      </c>
      <c r="H42" s="77">
        <f t="shared" si="69"/>
        <v>5.7407967895256023E-3</v>
      </c>
      <c r="I42" s="77">
        <f t="shared" si="70"/>
        <v>6.0855982394098403E-3</v>
      </c>
      <c r="J42" s="77">
        <f t="shared" si="71"/>
        <v>6.5247996534546241E-3</v>
      </c>
      <c r="K42" s="77">
        <f t="shared" si="72"/>
        <v>7.1194326974673792E-3</v>
      </c>
      <c r="L42" s="77">
        <f t="shared" si="73"/>
        <v>7.9803065435007543E-3</v>
      </c>
      <c r="M42" s="77">
        <f t="shared" si="74"/>
        <v>9.3358234939177002E-3</v>
      </c>
      <c r="N42" s="77">
        <f t="shared" si="75"/>
        <v>1.1741004390338962E-2</v>
      </c>
      <c r="O42" s="77">
        <f t="shared" si="76"/>
        <v>1.3887533015516613E-2</v>
      </c>
      <c r="P42" s="77">
        <f t="shared" si="77"/>
        <v>2.1867180761577811E-2</v>
      </c>
      <c r="R42" s="170" t="s">
        <v>252</v>
      </c>
      <c r="S42">
        <f>(S41+S43)/2</f>
        <v>0.99680000000000002</v>
      </c>
      <c r="T42" s="48">
        <f>(T41+T43)/2</f>
        <v>0.95432500000000009</v>
      </c>
      <c r="U42" s="48">
        <f t="shared" ref="U42" si="119">(U41+U43)/2</f>
        <v>0.91185000000000005</v>
      </c>
      <c r="V42" s="48">
        <f t="shared" ref="V42" si="120">(V41+V43)/2</f>
        <v>0.86937500000000001</v>
      </c>
      <c r="W42" s="48">
        <f t="shared" ref="W42" si="121">(W41+W43)/2</f>
        <v>0.82600000000000007</v>
      </c>
      <c r="X42" s="48">
        <f t="shared" ref="X42" si="122">(X41+X43)/2</f>
        <v>0.7792</v>
      </c>
      <c r="Y42" s="48">
        <f t="shared" ref="Y42" si="123">(Y41+Y43)/2</f>
        <v>0.72675000000000001</v>
      </c>
      <c r="Z42" s="48">
        <f t="shared" ref="Z42" si="124">(Z41+Z43)/2</f>
        <v>0.66605000000000003</v>
      </c>
      <c r="AA42" s="48">
        <f t="shared" ref="AA42" si="125">(AA41+AA43)/2</f>
        <v>0.59419999999999995</v>
      </c>
      <c r="AB42" s="48">
        <f t="shared" ref="AB42" si="126">(AB41+AB43)/2</f>
        <v>0.50792499999999996</v>
      </c>
      <c r="AC42" s="48">
        <f t="shared" ref="AC42" si="127">(AC41+AC43)/2</f>
        <v>0.40387499999999998</v>
      </c>
      <c r="AD42" s="48">
        <f t="shared" ref="AD42" si="128">(AD41+AD43)/2</f>
        <v>0.34145000000000003</v>
      </c>
      <c r="AE42" s="48">
        <f t="shared" ref="AE42" si="129">(AE41+AE43)/2</f>
        <v>0.21684999999999999</v>
      </c>
      <c r="AF42" s="48">
        <f t="shared" ref="AF42" si="130">(AF41+AF43)/2</f>
        <v>0.17505000000000001</v>
      </c>
    </row>
    <row r="43" spans="1:32" ht="15" thickBot="1" x14ac:dyDescent="0.35">
      <c r="A43" s="73" t="s">
        <v>253</v>
      </c>
      <c r="B43" s="76">
        <v>12</v>
      </c>
      <c r="C43" s="106">
        <v>7.0034722222222226E-3</v>
      </c>
      <c r="D43" s="77">
        <f t="shared" si="78"/>
        <v>7.0034722222222226E-3</v>
      </c>
      <c r="E43" s="77">
        <f t="shared" si="66"/>
        <v>7.3166237173236757E-3</v>
      </c>
      <c r="F43" s="77">
        <f t="shared" si="67"/>
        <v>7.6590903567609605E-3</v>
      </c>
      <c r="G43" s="77">
        <f t="shared" si="68"/>
        <v>8.0351907092958037E-3</v>
      </c>
      <c r="H43" s="77">
        <f t="shared" si="69"/>
        <v>8.4623878953869296E-3</v>
      </c>
      <c r="I43" s="77">
        <f t="shared" si="70"/>
        <v>8.9753584803565593E-3</v>
      </c>
      <c r="J43" s="77">
        <f t="shared" si="71"/>
        <v>9.625442856270235E-3</v>
      </c>
      <c r="K43" s="77">
        <f t="shared" si="72"/>
        <v>1.0501532796854434E-2</v>
      </c>
      <c r="L43" s="77">
        <f t="shared" si="73"/>
        <v>1.1766586394862607E-2</v>
      </c>
      <c r="M43" s="77">
        <f t="shared" si="74"/>
        <v>1.3759277450338354E-2</v>
      </c>
      <c r="N43" s="77">
        <f t="shared" si="75"/>
        <v>1.7305342777915053E-2</v>
      </c>
      <c r="O43" s="77">
        <f t="shared" si="76"/>
        <v>1.9975676617861444E-2</v>
      </c>
      <c r="P43" s="77">
        <f t="shared" si="77"/>
        <v>3.1476279650436957E-2</v>
      </c>
      <c r="R43" s="170" t="s">
        <v>253</v>
      </c>
      <c r="S43" s="74">
        <v>1</v>
      </c>
      <c r="T43" s="74">
        <v>0.95720000000000005</v>
      </c>
      <c r="U43" s="74">
        <v>0.91439999999999999</v>
      </c>
      <c r="V43" s="74">
        <v>0.87160000000000004</v>
      </c>
      <c r="W43" s="74">
        <v>0.8276</v>
      </c>
      <c r="X43" s="74">
        <v>0.78029999999999999</v>
      </c>
      <c r="Y43" s="74">
        <v>0.72760000000000002</v>
      </c>
      <c r="Z43" s="74">
        <v>0.66690000000000005</v>
      </c>
      <c r="AA43" s="74">
        <v>0.59519999999999995</v>
      </c>
      <c r="AB43" s="74">
        <v>0.50900000000000001</v>
      </c>
      <c r="AC43" s="74">
        <v>0.4047</v>
      </c>
      <c r="AD43" s="74">
        <v>0.35060000000000002</v>
      </c>
      <c r="AE43" s="74">
        <v>0.2225</v>
      </c>
      <c r="AF43" s="74">
        <v>0.17680000000000001</v>
      </c>
    </row>
    <row r="44" spans="1:32" ht="15" thickBot="1" x14ac:dyDescent="0.35">
      <c r="A44" s="73" t="s">
        <v>284</v>
      </c>
      <c r="B44" s="76">
        <v>13</v>
      </c>
      <c r="C44" s="106">
        <v>8.099537037037037E-3</v>
      </c>
      <c r="D44" s="77">
        <f t="shared" si="78"/>
        <v>8.099537037037037E-3</v>
      </c>
      <c r="E44" s="77">
        <f t="shared" si="66"/>
        <v>8.3729126345552657E-3</v>
      </c>
      <c r="F44" s="77">
        <f t="shared" si="67"/>
        <v>8.8548562775085122E-3</v>
      </c>
      <c r="G44" s="77">
        <f t="shared" si="68"/>
        <v>9.2879273402179195E-3</v>
      </c>
      <c r="H44" s="77">
        <f t="shared" si="69"/>
        <v>9.7726074288574296E-3</v>
      </c>
      <c r="I44" s="77">
        <f t="shared" si="70"/>
        <v>1.0350184700066496E-2</v>
      </c>
      <c r="J44" s="77">
        <f t="shared" si="71"/>
        <v>1.1073261380869557E-2</v>
      </c>
      <c r="K44" s="77">
        <f t="shared" si="72"/>
        <v>1.2029610926833561E-2</v>
      </c>
      <c r="L44" s="77">
        <f t="shared" si="73"/>
        <v>1.3374400655609376E-2</v>
      </c>
      <c r="M44" s="77">
        <f t="shared" si="74"/>
        <v>1.5413010536702257E-2</v>
      </c>
      <c r="N44" s="77">
        <f t="shared" si="75"/>
        <v>1.8836132644272179E-2</v>
      </c>
      <c r="O44" s="77">
        <f t="shared" si="76"/>
        <v>2.3138228930258641E-2</v>
      </c>
      <c r="P44" s="77">
        <f t="shared" si="77"/>
        <v>3.6451561822848949E-2</v>
      </c>
      <c r="R44" s="170" t="s">
        <v>284</v>
      </c>
      <c r="S44">
        <f>(S43+S45)/2</f>
        <v>1</v>
      </c>
      <c r="T44" s="48">
        <f t="shared" ref="T44" si="131">(T43+T45)/2</f>
        <v>0.96735000000000004</v>
      </c>
      <c r="U44" s="48">
        <f t="shared" ref="U44" si="132">(U43+U45)/2</f>
        <v>0.91470000000000007</v>
      </c>
      <c r="V44" s="48">
        <f t="shared" ref="V44" si="133">(V43+V45)/2</f>
        <v>0.87204999999999999</v>
      </c>
      <c r="W44" s="48">
        <f t="shared" ref="W44" si="134">(W43+W45)/2</f>
        <v>0.82879999999999998</v>
      </c>
      <c r="X44" s="48">
        <f t="shared" ref="X44" si="135">(X43+X45)/2</f>
        <v>0.78255000000000008</v>
      </c>
      <c r="Y44" s="48">
        <f t="shared" ref="Y44" si="136">(Y43+Y45)/2</f>
        <v>0.73144999999999993</v>
      </c>
      <c r="Z44" s="48">
        <f t="shared" ref="Z44" si="137">(Z43+Z45)/2</f>
        <v>0.67330000000000001</v>
      </c>
      <c r="AA44" s="48">
        <f t="shared" ref="AA44" si="138">(AA43+AA45)/2</f>
        <v>0.60559999999999992</v>
      </c>
      <c r="AB44" s="48">
        <f t="shared" ref="AB44" si="139">(AB43+AB45)/2</f>
        <v>0.52550000000000008</v>
      </c>
      <c r="AC44" s="48">
        <f t="shared" ref="AC44" si="140">(AC43+AC45)/2</f>
        <v>0.43</v>
      </c>
      <c r="AD44" s="48">
        <f t="shared" ref="AD44" si="141">(AD43+AD45)/2</f>
        <v>0.35004999999999997</v>
      </c>
      <c r="AE44" s="48">
        <f t="shared" ref="AE44" si="142">(AE43+AE45)/2</f>
        <v>0.22220000000000001</v>
      </c>
      <c r="AF44" s="48">
        <f t="shared" ref="AF44" si="143">(AF43+AF45)/2</f>
        <v>0.17680000000000001</v>
      </c>
    </row>
    <row r="45" spans="1:32" ht="15" thickBot="1" x14ac:dyDescent="0.35">
      <c r="A45" s="73" t="s">
        <v>254</v>
      </c>
      <c r="B45" s="76">
        <v>14</v>
      </c>
      <c r="C45" s="106">
        <v>1.2521412037037037E-2</v>
      </c>
      <c r="D45" s="77">
        <f t="shared" si="78"/>
        <v>1.2521412037037037E-2</v>
      </c>
      <c r="E45" s="77">
        <f t="shared" si="66"/>
        <v>1.2809628682390831E-2</v>
      </c>
      <c r="F45" s="77">
        <f t="shared" si="67"/>
        <v>1.3684603319166161E-2</v>
      </c>
      <c r="G45" s="77">
        <f t="shared" si="68"/>
        <v>1.4351188581131274E-2</v>
      </c>
      <c r="H45" s="77">
        <f t="shared" si="69"/>
        <v>1.5086038598839805E-2</v>
      </c>
      <c r="I45" s="77">
        <f t="shared" si="70"/>
        <v>1.5954908304073697E-2</v>
      </c>
      <c r="J45" s="77">
        <f t="shared" si="71"/>
        <v>1.7028984138497263E-2</v>
      </c>
      <c r="K45" s="77">
        <f t="shared" si="72"/>
        <v>1.8421968570011826E-2</v>
      </c>
      <c r="L45" s="77">
        <f t="shared" si="73"/>
        <v>2.0326967592592594E-2</v>
      </c>
      <c r="M45" s="77">
        <f t="shared" si="74"/>
        <v>2.3102236230695638E-2</v>
      </c>
      <c r="N45" s="77">
        <f t="shared" si="75"/>
        <v>2.7501454067729053E-2</v>
      </c>
      <c r="O45" s="77">
        <f t="shared" si="76"/>
        <v>3.5826643882795529E-2</v>
      </c>
      <c r="P45" s="83">
        <f t="shared" si="77"/>
        <v>5.6428175020446322E-2</v>
      </c>
      <c r="R45" s="170" t="s">
        <v>254</v>
      </c>
      <c r="S45" s="74">
        <v>1</v>
      </c>
      <c r="T45" s="74">
        <v>0.97750000000000004</v>
      </c>
      <c r="U45" s="74">
        <v>0.91500000000000004</v>
      </c>
      <c r="V45" s="74">
        <v>0.87250000000000005</v>
      </c>
      <c r="W45" s="74">
        <v>0.83</v>
      </c>
      <c r="X45" s="74">
        <v>0.78480000000000005</v>
      </c>
      <c r="Y45" s="74">
        <v>0.73529999999999995</v>
      </c>
      <c r="Z45" s="74">
        <v>0.67969999999999997</v>
      </c>
      <c r="AA45" s="74">
        <v>0.61599999999999999</v>
      </c>
      <c r="AB45" s="74">
        <v>0.54200000000000004</v>
      </c>
      <c r="AC45" s="74">
        <v>0.45529999999999998</v>
      </c>
      <c r="AD45" s="74">
        <v>0.34949999999999998</v>
      </c>
      <c r="AE45" s="74">
        <v>0.22189999999999999</v>
      </c>
      <c r="AF45" s="74">
        <v>0.17680000000000001</v>
      </c>
    </row>
    <row r="46" spans="1:32" ht="15" thickBot="1" x14ac:dyDescent="0.35">
      <c r="A46" s="73" t="s">
        <v>291</v>
      </c>
      <c r="B46" s="76">
        <v>15</v>
      </c>
      <c r="C46" s="106">
        <v>3.2152777777777773E-2</v>
      </c>
      <c r="D46" s="77">
        <f t="shared" si="78"/>
        <v>3.2152777777777773E-2</v>
      </c>
      <c r="E46" s="77">
        <f t="shared" si="66"/>
        <v>3.3530897672101129E-2</v>
      </c>
      <c r="F46" s="77">
        <f t="shared" si="67"/>
        <v>3.5101285783600188E-2</v>
      </c>
      <c r="G46" s="77">
        <f t="shared" si="68"/>
        <v>3.6788075260615304E-2</v>
      </c>
      <c r="H46" s="77">
        <f t="shared" si="69"/>
        <v>3.8645165598290593E-2</v>
      </c>
      <c r="I46" s="77">
        <f t="shared" si="70"/>
        <v>4.0834109445996664E-2</v>
      </c>
      <c r="J46" s="83">
        <f t="shared" si="71"/>
        <v>4.3555645865318036E-2</v>
      </c>
      <c r="K46" s="83">
        <f t="shared" si="72"/>
        <v>4.7131014039545255E-2</v>
      </c>
      <c r="L46" s="83">
        <f t="shared" si="73"/>
        <v>5.2119918589362574E-2</v>
      </c>
      <c r="M46" s="83">
        <f t="shared" si="74"/>
        <v>5.960841263955835E-2</v>
      </c>
      <c r="N46" s="83">
        <f t="shared" si="75"/>
        <v>7.2026831939466338E-2</v>
      </c>
      <c r="O46" s="83">
        <f t="shared" si="76"/>
        <v>8.7609748713290941E-2</v>
      </c>
      <c r="P46" s="83">
        <f t="shared" si="77"/>
        <v>0.13017318938371569</v>
      </c>
      <c r="R46" s="170" t="s">
        <v>291</v>
      </c>
      <c r="S46" s="74">
        <v>1</v>
      </c>
      <c r="T46" s="74">
        <v>0.95889999999999997</v>
      </c>
      <c r="U46" s="74">
        <v>0.91600000000000004</v>
      </c>
      <c r="V46" s="74">
        <v>0.874</v>
      </c>
      <c r="W46" s="74">
        <v>0.83199999999999996</v>
      </c>
      <c r="X46" s="74">
        <v>0.78739999999999999</v>
      </c>
      <c r="Y46" s="74">
        <v>0.73819999999999997</v>
      </c>
      <c r="Z46" s="74">
        <v>0.68220000000000003</v>
      </c>
      <c r="AA46" s="74">
        <v>0.6169</v>
      </c>
      <c r="AB46" s="74">
        <v>0.53939999999999999</v>
      </c>
      <c r="AC46" s="74">
        <v>0.44640000000000002</v>
      </c>
      <c r="AD46" s="74">
        <v>0.36699999999999999</v>
      </c>
      <c r="AE46" s="74">
        <v>0.247</v>
      </c>
      <c r="AF46" s="74">
        <v>0.17680000000000001</v>
      </c>
    </row>
    <row r="47" spans="1:32" ht="15" thickBot="1" x14ac:dyDescent="0.35">
      <c r="A47" s="73" t="s">
        <v>285</v>
      </c>
      <c r="B47" s="76">
        <v>16</v>
      </c>
      <c r="C47" s="106">
        <v>5.9982638888888889E-3</v>
      </c>
      <c r="D47" s="77">
        <f t="shared" si="78"/>
        <v>5.9982638888888889E-3</v>
      </c>
      <c r="E47" s="77">
        <f t="shared" si="66"/>
        <v>6.2599289176465131E-3</v>
      </c>
      <c r="F47" s="77">
        <f t="shared" si="67"/>
        <v>6.5454647412580627E-3</v>
      </c>
      <c r="G47" s="77">
        <f t="shared" si="68"/>
        <v>6.8582939502502731E-3</v>
      </c>
      <c r="H47" s="77">
        <f t="shared" si="69"/>
        <v>7.2129195393084286E-3</v>
      </c>
      <c r="I47" s="77">
        <f t="shared" si="70"/>
        <v>7.6294376607592071E-3</v>
      </c>
      <c r="J47" s="77">
        <f t="shared" si="71"/>
        <v>8.1520302920479598E-3</v>
      </c>
      <c r="K47" s="77">
        <f t="shared" si="72"/>
        <v>8.8810540255979988E-3</v>
      </c>
      <c r="L47" s="77">
        <f t="shared" si="73"/>
        <v>1.005407959921034E-2</v>
      </c>
      <c r="M47" s="77">
        <f t="shared" si="74"/>
        <v>1.2236360442449794E-2</v>
      </c>
      <c r="N47" s="77">
        <f t="shared" si="75"/>
        <v>1.4669268498138639E-2</v>
      </c>
      <c r="O47" s="77">
        <f t="shared" si="76"/>
        <v>1.8680360912142289E-2</v>
      </c>
      <c r="P47" s="77">
        <f t="shared" si="77"/>
        <v>2.481697926722751E-2</v>
      </c>
      <c r="R47" s="170" t="s">
        <v>292</v>
      </c>
      <c r="S47" s="74">
        <v>1</v>
      </c>
      <c r="T47" s="74">
        <v>0.95820000000000005</v>
      </c>
      <c r="U47" s="74">
        <v>0.91639999999999999</v>
      </c>
      <c r="V47" s="74">
        <v>0.87460000000000004</v>
      </c>
      <c r="W47" s="74">
        <v>0.83160000000000001</v>
      </c>
      <c r="X47" s="74">
        <v>0.78620000000000001</v>
      </c>
      <c r="Y47" s="74">
        <v>0.73580000000000001</v>
      </c>
      <c r="Z47" s="74">
        <v>0.6754</v>
      </c>
      <c r="AA47" s="74">
        <v>0.59660000000000002</v>
      </c>
      <c r="AB47" s="74">
        <v>0.49020000000000002</v>
      </c>
      <c r="AC47" s="74">
        <v>0.40889999999999999</v>
      </c>
      <c r="AD47" s="74">
        <v>0.3211</v>
      </c>
      <c r="AE47" s="74">
        <v>0.2417</v>
      </c>
      <c r="AF47" s="74">
        <v>0.1668</v>
      </c>
    </row>
    <row r="48" spans="1:32" ht="15" thickBot="1" x14ac:dyDescent="0.35">
      <c r="A48" s="73" t="s">
        <v>306</v>
      </c>
      <c r="B48" s="76">
        <v>17</v>
      </c>
      <c r="C48" s="106">
        <v>1.8865740740740743E-4</v>
      </c>
      <c r="D48" s="77">
        <f t="shared" si="78"/>
        <v>1.9149148133110782E-4</v>
      </c>
      <c r="E48" s="77">
        <f t="shared" si="66"/>
        <v>1.5941981359422633E-4</v>
      </c>
      <c r="F48" s="77">
        <f t="shared" si="67"/>
        <v>1.728581706133475E-4</v>
      </c>
      <c r="G48" s="77">
        <f t="shared" si="68"/>
        <v>1.7206987176888674E-4</v>
      </c>
      <c r="H48" s="77">
        <f t="shared" si="69"/>
        <v>1.878234711953003E-4</v>
      </c>
      <c r="I48" s="77">
        <f t="shared" si="70"/>
        <v>1.9010218400585191E-4</v>
      </c>
      <c r="J48" s="77">
        <f t="shared" si="71"/>
        <v>2.0952621879987497E-4</v>
      </c>
      <c r="K48" s="77">
        <f t="shared" si="72"/>
        <v>2.3337135997947479E-4</v>
      </c>
      <c r="L48" s="77">
        <f t="shared" si="73"/>
        <v>2.6519174502025221E-4</v>
      </c>
      <c r="M48" s="77">
        <f t="shared" si="74"/>
        <v>3.1728457350724422E-4</v>
      </c>
      <c r="N48" s="77">
        <f t="shared" si="75"/>
        <v>4.2964565567617268E-4</v>
      </c>
      <c r="O48" s="77">
        <f t="shared" si="76"/>
        <v>8.5403987056318438E-4</v>
      </c>
      <c r="P48" s="77">
        <f t="shared" si="77"/>
        <v>1.0463527865080834E-3</v>
      </c>
      <c r="R48" s="170" t="s">
        <v>305</v>
      </c>
      <c r="S48" s="74">
        <v>0.98519999999999996</v>
      </c>
      <c r="T48" s="74">
        <v>1.1834</v>
      </c>
      <c r="U48" s="74">
        <v>1.0913999999999999</v>
      </c>
      <c r="V48" s="74">
        <v>1.0964</v>
      </c>
      <c r="W48" s="74">
        <v>1.00444</v>
      </c>
      <c r="X48" s="74">
        <v>0.99239999999999995</v>
      </c>
      <c r="Y48" s="74">
        <v>0.90039999999999998</v>
      </c>
      <c r="Z48" s="74">
        <v>0.80840000000000001</v>
      </c>
      <c r="AA48" s="74">
        <v>0.71140000000000003</v>
      </c>
      <c r="AB48" s="74">
        <v>0.59460000000000002</v>
      </c>
      <c r="AC48" s="74">
        <v>0.43909999999999999</v>
      </c>
      <c r="AD48" s="74">
        <v>0.22090000000000001</v>
      </c>
      <c r="AE48" s="74">
        <v>0.18029999999999999</v>
      </c>
      <c r="AF48" s="74">
        <v>0.13120000000000001</v>
      </c>
    </row>
    <row r="49" spans="1:32" ht="15" thickBot="1" x14ac:dyDescent="0.35">
      <c r="A49" s="73" t="s">
        <v>286</v>
      </c>
      <c r="B49" s="76">
        <v>18</v>
      </c>
      <c r="C49" s="106">
        <v>3.8206018518518515E-4</v>
      </c>
      <c r="D49" s="77">
        <f t="shared" si="78"/>
        <v>3.9379528466830055E-4</v>
      </c>
      <c r="E49" s="77">
        <f t="shared" si="66"/>
        <v>4.0897044014684772E-4</v>
      </c>
      <c r="F49" s="77">
        <f t="shared" si="67"/>
        <v>4.2536204095433664E-4</v>
      </c>
      <c r="G49" s="77">
        <f t="shared" si="68"/>
        <v>4.4312246020086424E-4</v>
      </c>
      <c r="H49" s="77">
        <f t="shared" si="69"/>
        <v>4.6243062840133759E-4</v>
      </c>
      <c r="I49" s="77">
        <f t="shared" si="70"/>
        <v>4.834980829982095E-4</v>
      </c>
      <c r="J49" s="77">
        <f t="shared" si="71"/>
        <v>5.0657675044442482E-4</v>
      </c>
      <c r="K49" s="77">
        <f t="shared" si="72"/>
        <v>5.4054921503280296E-4</v>
      </c>
      <c r="L49" s="77">
        <f t="shared" si="73"/>
        <v>5.8374359844948079E-4</v>
      </c>
      <c r="M49" s="77">
        <f t="shared" si="74"/>
        <v>6.5231378723780973E-4</v>
      </c>
      <c r="N49" s="77">
        <f t="shared" si="75"/>
        <v>7.7465568772340856E-4</v>
      </c>
      <c r="O49" s="77">
        <f t="shared" si="76"/>
        <v>1.0612782921810698E-3</v>
      </c>
      <c r="P49" s="77">
        <f t="shared" si="77"/>
        <v>1.3004090714267703E-3</v>
      </c>
      <c r="R49" s="170" t="s">
        <v>294</v>
      </c>
      <c r="S49" s="74">
        <v>0.97019999999999995</v>
      </c>
      <c r="T49" s="74">
        <v>0.93420000000000003</v>
      </c>
      <c r="U49" s="74">
        <v>0.8982</v>
      </c>
      <c r="V49" s="74">
        <v>0.86219999999999997</v>
      </c>
      <c r="W49" s="74">
        <v>0.82620000000000005</v>
      </c>
      <c r="X49" s="74">
        <v>0.79020000000000001</v>
      </c>
      <c r="Y49" s="74">
        <v>0.75419999999999998</v>
      </c>
      <c r="Z49" s="74">
        <v>0.70679999999999998</v>
      </c>
      <c r="AA49" s="74">
        <v>0.65449999999999997</v>
      </c>
      <c r="AB49" s="74">
        <v>0.5857</v>
      </c>
      <c r="AC49" s="74">
        <v>0.49320000000000003</v>
      </c>
      <c r="AD49" s="74">
        <v>0.36</v>
      </c>
      <c r="AE49" s="74">
        <v>0.29380000000000001</v>
      </c>
      <c r="AF49" s="74">
        <v>0.19170000000000001</v>
      </c>
    </row>
    <row r="50" spans="1:32" ht="15" thickBot="1" x14ac:dyDescent="0.35">
      <c r="A50" s="73" t="s">
        <v>349</v>
      </c>
      <c r="B50" s="76">
        <v>19</v>
      </c>
      <c r="C50" s="106">
        <v>7.8831018518518519E-4</v>
      </c>
      <c r="D50" s="77">
        <f t="shared" si="78"/>
        <v>7.8831018518518519E-4</v>
      </c>
      <c r="E50" s="77">
        <f t="shared" si="66"/>
        <v>8.4419595757676718E-4</v>
      </c>
      <c r="F50" s="77">
        <f t="shared" si="67"/>
        <v>9.2006324134592105E-4</v>
      </c>
      <c r="G50" s="77">
        <f t="shared" si="68"/>
        <v>6.4945640565594435E-4</v>
      </c>
      <c r="H50" s="77">
        <f t="shared" si="69"/>
        <v>6.9222882436352755E-4</v>
      </c>
      <c r="I50" s="77">
        <f t="shared" si="70"/>
        <v>7.4495386995386992E-4</v>
      </c>
      <c r="J50" s="77">
        <f t="shared" si="71"/>
        <v>8.1420180250483913E-4</v>
      </c>
      <c r="K50" s="77">
        <f t="shared" si="72"/>
        <v>9.1536250021503158E-4</v>
      </c>
      <c r="L50" s="77">
        <f t="shared" si="73"/>
        <v>1.091842361752334E-3</v>
      </c>
      <c r="M50" s="77" t="str">
        <f t="shared" si="74"/>
        <v/>
      </c>
      <c r="N50" s="77" t="str">
        <f t="shared" si="75"/>
        <v/>
      </c>
      <c r="O50" s="77" t="str">
        <f t="shared" si="76"/>
        <v/>
      </c>
      <c r="P50" s="77" t="str">
        <f t="shared" si="77"/>
        <v/>
      </c>
      <c r="R50" s="170" t="s">
        <v>307</v>
      </c>
      <c r="S50" s="74">
        <v>1</v>
      </c>
      <c r="T50" s="74">
        <v>0.93379999999999996</v>
      </c>
      <c r="U50" s="74">
        <v>0.85680000000000001</v>
      </c>
      <c r="V50" s="74">
        <v>1.2138</v>
      </c>
      <c r="W50" s="74">
        <v>1.1388</v>
      </c>
      <c r="X50" s="74">
        <v>1.0582</v>
      </c>
      <c r="Y50" s="74">
        <v>0.96819999999999995</v>
      </c>
      <c r="Z50" s="74">
        <v>0.86119999999999997</v>
      </c>
      <c r="AA50" s="74">
        <v>0.72199999999999998</v>
      </c>
      <c r="AB50" s="74"/>
      <c r="AC50" s="74"/>
      <c r="AD50" s="74"/>
      <c r="AE50" s="74"/>
      <c r="AF50" s="74"/>
    </row>
    <row r="51" spans="1:32" ht="15" thickBot="1" x14ac:dyDescent="0.35">
      <c r="A51" s="73" t="s">
        <v>257</v>
      </c>
      <c r="B51" s="76">
        <v>20</v>
      </c>
      <c r="C51" s="82">
        <v>5.63</v>
      </c>
      <c r="D51" s="75">
        <f t="shared" si="78"/>
        <v>5.3619047619047615</v>
      </c>
      <c r="E51" s="75">
        <f t="shared" si="66"/>
        <v>5.071615169804522</v>
      </c>
      <c r="F51" s="75">
        <f t="shared" si="67"/>
        <v>4.7809103260869561</v>
      </c>
      <c r="G51" s="75">
        <f t="shared" si="68"/>
        <v>4.4903493380124422</v>
      </c>
      <c r="H51" s="75">
        <f t="shared" si="69"/>
        <v>4.1999254009697875</v>
      </c>
      <c r="I51" s="75">
        <f t="shared" si="70"/>
        <v>3.9097222222222223</v>
      </c>
      <c r="J51" s="75">
        <f t="shared" si="71"/>
        <v>3.6189496689593108</v>
      </c>
      <c r="K51" s="75">
        <f t="shared" si="72"/>
        <v>3.3229062149560291</v>
      </c>
      <c r="L51" s="75">
        <f t="shared" si="73"/>
        <v>3.0115004011767854</v>
      </c>
      <c r="M51" s="75">
        <f t="shared" si="74"/>
        <v>2.6010626010626012</v>
      </c>
      <c r="N51" s="75">
        <f t="shared" si="75"/>
        <v>1.9311243740138575</v>
      </c>
      <c r="O51" s="75">
        <f t="shared" si="76"/>
        <v>1.7219231710300953</v>
      </c>
      <c r="P51" s="75">
        <f t="shared" si="77"/>
        <v>1.2727478241211712</v>
      </c>
      <c r="R51" s="170" t="s">
        <v>298</v>
      </c>
      <c r="S51" s="74">
        <v>1.05</v>
      </c>
      <c r="T51" s="74">
        <v>1.1101000000000001</v>
      </c>
      <c r="U51" s="74">
        <v>1.1776</v>
      </c>
      <c r="V51" s="74">
        <v>1.2538</v>
      </c>
      <c r="W51" s="74">
        <v>1.3405</v>
      </c>
      <c r="X51" s="74">
        <v>1.44</v>
      </c>
      <c r="Y51" s="74">
        <v>1.5557000000000001</v>
      </c>
      <c r="Z51" s="74">
        <v>1.6942999999999999</v>
      </c>
      <c r="AA51" s="74">
        <v>1.8694999999999999</v>
      </c>
      <c r="AB51" s="74">
        <v>2.1644999999999999</v>
      </c>
      <c r="AC51" s="74">
        <v>2.9154</v>
      </c>
      <c r="AD51" s="74">
        <v>3.2696000000000001</v>
      </c>
      <c r="AE51" s="74">
        <v>4.4234999999999998</v>
      </c>
      <c r="AF51" s="74">
        <v>7.52</v>
      </c>
    </row>
    <row r="52" spans="1:32" ht="15" thickBot="1" x14ac:dyDescent="0.35">
      <c r="A52" s="73" t="s">
        <v>258</v>
      </c>
      <c r="B52" s="76">
        <v>21</v>
      </c>
      <c r="C52" s="82">
        <v>1.67</v>
      </c>
      <c r="D52" s="75">
        <f t="shared" si="78"/>
        <v>1.5886605783866059</v>
      </c>
      <c r="E52" s="75">
        <f t="shared" si="66"/>
        <v>1.5132294309532439</v>
      </c>
      <c r="F52" s="75">
        <f t="shared" si="67"/>
        <v>1.4379197520234199</v>
      </c>
      <c r="G52" s="75">
        <f t="shared" si="68"/>
        <v>1.362597911227154</v>
      </c>
      <c r="H52" s="75">
        <f t="shared" si="69"/>
        <v>1.287288984814615</v>
      </c>
      <c r="I52" s="75">
        <f t="shared" si="70"/>
        <v>1.2119892590173453</v>
      </c>
      <c r="J52" s="75">
        <f t="shared" si="71"/>
        <v>1.1354364971444111</v>
      </c>
      <c r="K52" s="75">
        <f t="shared" si="72"/>
        <v>1.0572966128521684</v>
      </c>
      <c r="L52" s="75">
        <f t="shared" si="73"/>
        <v>0.97695097695097688</v>
      </c>
      <c r="M52" s="75">
        <f t="shared" si="74"/>
        <v>0.89395642631550765</v>
      </c>
      <c r="N52" s="75">
        <f t="shared" si="75"/>
        <v>0.80781695931891839</v>
      </c>
      <c r="O52" s="75">
        <f t="shared" si="76"/>
        <v>0.7179398994024333</v>
      </c>
      <c r="P52" s="75">
        <f t="shared" si="77"/>
        <v>0.62392587611148465</v>
      </c>
      <c r="R52" s="170" t="s">
        <v>297</v>
      </c>
      <c r="S52" s="74">
        <v>1.0511999999999999</v>
      </c>
      <c r="T52" s="74">
        <v>1.1035999999999999</v>
      </c>
      <c r="U52" s="74">
        <v>1.1614</v>
      </c>
      <c r="V52" s="74">
        <v>1.2256</v>
      </c>
      <c r="W52" s="74">
        <v>1.2972999999999999</v>
      </c>
      <c r="X52" s="74">
        <v>1.3778999999999999</v>
      </c>
      <c r="Y52" s="74">
        <v>1.4708000000000001</v>
      </c>
      <c r="Z52" s="74">
        <v>1.5794999999999999</v>
      </c>
      <c r="AA52" s="74">
        <v>1.7094</v>
      </c>
      <c r="AB52" s="74">
        <v>1.8681000000000001</v>
      </c>
      <c r="AC52" s="74">
        <v>2.0672999999999999</v>
      </c>
      <c r="AD52" s="74">
        <v>2.3260999999999998</v>
      </c>
      <c r="AE52" s="74">
        <v>2.6766000000000001</v>
      </c>
      <c r="AF52" s="74">
        <v>3.2</v>
      </c>
    </row>
    <row r="53" spans="1:32" ht="15" thickBot="1" x14ac:dyDescent="0.35">
      <c r="A53" s="73" t="s">
        <v>259</v>
      </c>
      <c r="B53" s="76">
        <v>22</v>
      </c>
      <c r="C53" s="82">
        <v>11.38</v>
      </c>
      <c r="D53" s="75">
        <f t="shared" si="78"/>
        <v>11.172197133320244</v>
      </c>
      <c r="E53" s="75">
        <f t="shared" si="66"/>
        <v>10.556586270871986</v>
      </c>
      <c r="F53" s="75">
        <f t="shared" si="67"/>
        <v>9.9406009783368283</v>
      </c>
      <c r="G53" s="75">
        <f t="shared" si="68"/>
        <v>9.3248115372009188</v>
      </c>
      <c r="H53" s="75">
        <f t="shared" si="69"/>
        <v>8.7096280422470542</v>
      </c>
      <c r="I53" s="75">
        <f t="shared" si="70"/>
        <v>8.0938833570412534</v>
      </c>
      <c r="J53" s="75">
        <f t="shared" si="71"/>
        <v>7.477986594821922</v>
      </c>
      <c r="K53" s="75">
        <f t="shared" si="72"/>
        <v>6.781479053691676</v>
      </c>
      <c r="L53" s="75">
        <f t="shared" si="73"/>
        <v>5.9382174911292003</v>
      </c>
      <c r="M53" s="75">
        <f t="shared" si="74"/>
        <v>4.8651190628874357</v>
      </c>
      <c r="N53" s="75">
        <f t="shared" si="75"/>
        <v>3.4766138148046317</v>
      </c>
      <c r="O53" s="75">
        <f t="shared" si="76"/>
        <v>3.393773112250984</v>
      </c>
      <c r="P53" s="75">
        <f t="shared" si="77"/>
        <v>2.5696608408978006</v>
      </c>
      <c r="R53" s="170" t="s">
        <v>299</v>
      </c>
      <c r="S53" s="74">
        <v>1.0185999999999999</v>
      </c>
      <c r="T53" s="74">
        <v>1.0780000000000001</v>
      </c>
      <c r="U53" s="74">
        <v>1.1448</v>
      </c>
      <c r="V53" s="74">
        <v>1.2203999999999999</v>
      </c>
      <c r="W53" s="74">
        <v>1.3066</v>
      </c>
      <c r="X53" s="74">
        <v>1.4059999999999999</v>
      </c>
      <c r="Y53" s="74">
        <v>1.5218</v>
      </c>
      <c r="Z53" s="74">
        <v>1.6780999999999999</v>
      </c>
      <c r="AA53" s="74">
        <v>1.9164000000000001</v>
      </c>
      <c r="AB53" s="74">
        <v>2.3391000000000002</v>
      </c>
      <c r="AC53" s="74">
        <v>3.2732999999999999</v>
      </c>
      <c r="AD53" s="74">
        <v>3.3532000000000002</v>
      </c>
      <c r="AE53" s="74">
        <v>4.4286000000000003</v>
      </c>
      <c r="AF53" s="74">
        <v>7.5609999999999999</v>
      </c>
    </row>
    <row r="54" spans="1:32" ht="15" thickBot="1" x14ac:dyDescent="0.35">
      <c r="A54" s="73" t="s">
        <v>301</v>
      </c>
      <c r="B54" s="76">
        <v>23</v>
      </c>
      <c r="C54" s="82">
        <v>12.15</v>
      </c>
      <c r="D54" s="75">
        <f t="shared" si="78"/>
        <v>11.718750000000002</v>
      </c>
      <c r="E54" s="75">
        <f t="shared" si="66"/>
        <v>10.945945945945946</v>
      </c>
      <c r="F54" s="75">
        <f t="shared" si="67"/>
        <v>10.173323285606633</v>
      </c>
      <c r="G54" s="75">
        <f t="shared" si="68"/>
        <v>9.6375029745379557</v>
      </c>
      <c r="H54" s="75">
        <f t="shared" si="69"/>
        <v>8.8647307748431352</v>
      </c>
      <c r="I54" s="75">
        <f t="shared" si="70"/>
        <v>8.0919080919080919</v>
      </c>
      <c r="J54" s="75">
        <f t="shared" si="71"/>
        <v>7.3192771084337354</v>
      </c>
      <c r="K54" s="75">
        <f t="shared" si="72"/>
        <v>6.546688937981572</v>
      </c>
      <c r="L54" s="75">
        <f t="shared" si="73"/>
        <v>6.6306483300589392</v>
      </c>
      <c r="M54" s="75">
        <f t="shared" si="74"/>
        <v>5.8576800694243571</v>
      </c>
      <c r="N54" s="75">
        <f t="shared" si="75"/>
        <v>5.0849585670042687</v>
      </c>
      <c r="O54" s="75">
        <f t="shared" si="76"/>
        <v>4.3121805792163546</v>
      </c>
      <c r="P54" s="75">
        <f t="shared" si="77"/>
        <v>3.5393847587974832</v>
      </c>
      <c r="R54" s="170" t="s">
        <v>301</v>
      </c>
      <c r="S54" s="74">
        <v>1.0367999999999999</v>
      </c>
      <c r="T54" s="74">
        <v>1.1100000000000001</v>
      </c>
      <c r="U54" s="74">
        <v>1.1942999999999999</v>
      </c>
      <c r="V54" s="74">
        <v>1.2606999999999999</v>
      </c>
      <c r="W54" s="74">
        <v>1.3706</v>
      </c>
      <c r="X54" s="74">
        <v>1.5015000000000001</v>
      </c>
      <c r="Y54" s="74">
        <v>1.66</v>
      </c>
      <c r="Z54" s="74">
        <v>1.8559000000000001</v>
      </c>
      <c r="AA54" s="74">
        <v>1.8324</v>
      </c>
      <c r="AB54" s="74">
        <v>2.0741999999999998</v>
      </c>
      <c r="AC54" s="74">
        <v>2.3894000000000002</v>
      </c>
      <c r="AD54" s="74">
        <v>2.8176000000000001</v>
      </c>
      <c r="AE54" s="74">
        <v>3.4327999999999999</v>
      </c>
      <c r="AF54" s="74">
        <v>4.3917000000000002</v>
      </c>
    </row>
    <row r="55" spans="1:32" ht="15" thickBot="1" x14ac:dyDescent="0.35">
      <c r="A55" s="73" t="s">
        <v>300</v>
      </c>
      <c r="B55" s="76">
        <v>24</v>
      </c>
      <c r="C55" s="82">
        <v>33.659999999999997</v>
      </c>
      <c r="D55" s="75">
        <f t="shared" si="78"/>
        <v>31.691931079935973</v>
      </c>
      <c r="E55" s="75">
        <f t="shared" si="66"/>
        <v>29.333333333333332</v>
      </c>
      <c r="F55" s="75">
        <f t="shared" si="67"/>
        <v>26.973315169484732</v>
      </c>
      <c r="G55" s="75">
        <f t="shared" si="68"/>
        <v>25.602799117669427</v>
      </c>
      <c r="H55" s="75">
        <f t="shared" si="69"/>
        <v>23.242646043364175</v>
      </c>
      <c r="I55" s="75">
        <f t="shared" si="70"/>
        <v>21.845794392523363</v>
      </c>
      <c r="J55" s="75">
        <f t="shared" si="71"/>
        <v>19.485932615491489</v>
      </c>
      <c r="K55" s="75">
        <f t="shared" si="72"/>
        <v>17.126284725755568</v>
      </c>
      <c r="L55" s="75">
        <f t="shared" si="73"/>
        <v>14.767043958936561</v>
      </c>
      <c r="M55" s="75">
        <f t="shared" si="74"/>
        <v>12.407386929116443</v>
      </c>
      <c r="N55" s="75">
        <f t="shared" si="75"/>
        <v>10.047761194029849</v>
      </c>
      <c r="O55" s="75">
        <f t="shared" si="76"/>
        <v>7.6880909962998487</v>
      </c>
      <c r="P55" s="75">
        <f t="shared" si="77"/>
        <v>5.3283943581706792</v>
      </c>
      <c r="R55" s="170" t="s">
        <v>300</v>
      </c>
      <c r="S55" s="74">
        <v>1.0621</v>
      </c>
      <c r="T55" s="74">
        <v>1.1475</v>
      </c>
      <c r="U55" s="74">
        <v>1.2479</v>
      </c>
      <c r="V55" s="74">
        <v>1.3147</v>
      </c>
      <c r="W55" s="74">
        <v>1.4481999999999999</v>
      </c>
      <c r="X55" s="74">
        <v>1.5407999999999999</v>
      </c>
      <c r="Y55" s="74">
        <v>1.7274</v>
      </c>
      <c r="Z55" s="74">
        <v>1.9654</v>
      </c>
      <c r="AA55" s="74">
        <v>2.2793999999999999</v>
      </c>
      <c r="AB55" s="74">
        <v>2.7128999999999999</v>
      </c>
      <c r="AC55" s="74">
        <v>3.35</v>
      </c>
      <c r="AD55" s="74">
        <v>4.3781999999999996</v>
      </c>
      <c r="AE55" s="74">
        <v>6.3170999999999999</v>
      </c>
      <c r="AF55" s="74">
        <v>11.337</v>
      </c>
    </row>
    <row r="56" spans="1:32" ht="15" thickBot="1" x14ac:dyDescent="0.35">
      <c r="A56" s="73" t="s">
        <v>302</v>
      </c>
      <c r="B56" s="76">
        <v>25</v>
      </c>
      <c r="C56" s="82">
        <v>39.5</v>
      </c>
      <c r="D56" s="75">
        <f t="shared" si="78"/>
        <v>38.097993827160494</v>
      </c>
      <c r="E56" s="75">
        <f t="shared" si="66"/>
        <v>35.426008968609864</v>
      </c>
      <c r="F56" s="75">
        <f t="shared" si="67"/>
        <v>32.758334715541551</v>
      </c>
      <c r="G56" s="75">
        <f t="shared" si="68"/>
        <v>30.088360755636806</v>
      </c>
      <c r="H56" s="75">
        <f t="shared" si="69"/>
        <v>27.417227736516971</v>
      </c>
      <c r="I56" s="75">
        <f t="shared" si="70"/>
        <v>24.747822818119165</v>
      </c>
      <c r="J56" s="75">
        <f t="shared" si="71"/>
        <v>22.033803759692084</v>
      </c>
      <c r="K56" s="75">
        <f t="shared" si="72"/>
        <v>19.228896894168049</v>
      </c>
      <c r="L56" s="75">
        <f t="shared" si="73"/>
        <v>18.332869210062192</v>
      </c>
      <c r="M56" s="75">
        <f t="shared" si="74"/>
        <v>15.662172878667725</v>
      </c>
      <c r="N56" s="75">
        <f t="shared" si="75"/>
        <v>12.991711616892514</v>
      </c>
      <c r="O56" s="75">
        <f t="shared" si="76"/>
        <v>10.321400574862817</v>
      </c>
      <c r="P56" s="75">
        <f t="shared" si="77"/>
        <v>7.651183512183783</v>
      </c>
      <c r="R56" s="170" t="s">
        <v>302</v>
      </c>
      <c r="S56" s="74">
        <v>1.0367999999999999</v>
      </c>
      <c r="T56" s="74">
        <v>1.115</v>
      </c>
      <c r="U56" s="74">
        <v>1.2058</v>
      </c>
      <c r="V56" s="74">
        <v>1.3128</v>
      </c>
      <c r="W56" s="74">
        <v>1.4407000000000001</v>
      </c>
      <c r="X56" s="74">
        <v>1.5961000000000001</v>
      </c>
      <c r="Y56" s="74">
        <v>1.7927</v>
      </c>
      <c r="Z56" s="74">
        <v>2.0541999999999998</v>
      </c>
      <c r="AA56" s="74">
        <v>2.1545999999999998</v>
      </c>
      <c r="AB56" s="74">
        <v>2.5219999999999998</v>
      </c>
      <c r="AC56" s="74">
        <v>3.0404</v>
      </c>
      <c r="AD56" s="74">
        <v>3.827</v>
      </c>
      <c r="AE56" s="74">
        <v>5.1626000000000003</v>
      </c>
      <c r="AF56" s="74">
        <v>7.9302000000000001</v>
      </c>
    </row>
    <row r="59" spans="1:32" ht="14.4" x14ac:dyDescent="0.3">
      <c r="R59" s="170"/>
      <c r="V59" s="74"/>
      <c r="W59" s="74"/>
      <c r="X59" s="74"/>
      <c r="Y59" s="74"/>
      <c r="Z59" s="74"/>
      <c r="AA59" s="74"/>
      <c r="AB59" s="74"/>
      <c r="AC59" s="74"/>
      <c r="AD59" s="74"/>
      <c r="AE59" s="74"/>
      <c r="AF59" s="74"/>
    </row>
    <row r="60" spans="1:32" ht="14.4" x14ac:dyDescent="0.3">
      <c r="R60" s="170"/>
      <c r="S60" s="74"/>
      <c r="T60" s="74"/>
      <c r="U60" s="74"/>
      <c r="AA60" s="74"/>
      <c r="AB60" s="74"/>
      <c r="AC60" s="74"/>
      <c r="AD60" s="74"/>
      <c r="AE60" s="74"/>
      <c r="AF60" s="74"/>
    </row>
    <row r="61" spans="1:32" ht="14.4" x14ac:dyDescent="0.3">
      <c r="R61" s="170"/>
      <c r="S61" s="74"/>
      <c r="T61" s="74"/>
      <c r="U61" s="74"/>
      <c r="V61" s="74"/>
      <c r="W61" s="74"/>
      <c r="X61" s="74"/>
      <c r="Y61" s="74"/>
      <c r="Z61" s="74"/>
    </row>
    <row r="62" spans="1:32" ht="14.4" x14ac:dyDescent="0.3">
      <c r="R62" s="170"/>
      <c r="AA62" s="74"/>
      <c r="AB62" s="74"/>
      <c r="AC62" s="74"/>
      <c r="AD62" s="74"/>
      <c r="AE62" s="74"/>
      <c r="AF62" s="74"/>
    </row>
    <row r="63" spans="1:32" ht="14.4" x14ac:dyDescent="0.3">
      <c r="R63" s="170"/>
      <c r="S63" s="74"/>
      <c r="T63" s="74"/>
      <c r="U63" s="74"/>
      <c r="V63" s="74"/>
      <c r="W63" s="74"/>
      <c r="X63" s="74"/>
      <c r="Y63" s="74"/>
      <c r="Z63" s="74"/>
    </row>
    <row r="64" spans="1:32" ht="14.4" x14ac:dyDescent="0.3">
      <c r="R64" s="170"/>
      <c r="V64" s="74"/>
      <c r="W64" s="74"/>
      <c r="X64" s="74"/>
      <c r="Y64" s="74"/>
      <c r="Z64" s="74"/>
      <c r="AA64" s="74"/>
      <c r="AB64" s="74"/>
      <c r="AC64" s="74"/>
      <c r="AD64" s="74"/>
      <c r="AE64" s="74"/>
      <c r="AF64" s="74"/>
    </row>
    <row r="65" spans="18:32" ht="14.4" x14ac:dyDescent="0.3">
      <c r="R65" s="170"/>
      <c r="S65" s="74"/>
      <c r="T65" s="74"/>
      <c r="U65" s="74"/>
      <c r="X65" s="74"/>
      <c r="Y65" s="74"/>
      <c r="Z65" s="74"/>
      <c r="AA65" s="74"/>
      <c r="AB65" s="74"/>
      <c r="AC65" s="74"/>
      <c r="AD65" s="74"/>
      <c r="AE65" s="74"/>
      <c r="AF65" s="74"/>
    </row>
    <row r="66" spans="18:32" ht="14.4" x14ac:dyDescent="0.3">
      <c r="R66" s="170"/>
      <c r="S66" s="74"/>
      <c r="T66" s="74"/>
      <c r="U66" s="74"/>
      <c r="V66" s="74"/>
      <c r="W66" s="74"/>
    </row>
    <row r="67" spans="18:32" ht="14.4" x14ac:dyDescent="0.3">
      <c r="R67" s="170"/>
      <c r="S67" s="74"/>
      <c r="T67" s="74"/>
      <c r="U67" s="74"/>
      <c r="V67" s="74"/>
      <c r="W67" s="74"/>
      <c r="X67" s="74"/>
      <c r="Y67" s="74"/>
      <c r="Z67" s="74"/>
      <c r="AA67" s="74"/>
      <c r="AB67" s="74"/>
      <c r="AC67" s="74"/>
      <c r="AD67" s="74"/>
      <c r="AE67" s="74"/>
      <c r="AF67" s="74"/>
    </row>
    <row r="68" spans="18:32" ht="14.4" x14ac:dyDescent="0.3">
      <c r="R68" s="170"/>
      <c r="S68" s="74"/>
      <c r="T68" s="74"/>
      <c r="U68" s="74"/>
      <c r="V68" s="74"/>
      <c r="W68" s="74"/>
      <c r="X68" s="74"/>
      <c r="Y68" s="74"/>
      <c r="Z68" s="74"/>
      <c r="AA68" s="74"/>
      <c r="AB68" s="74"/>
      <c r="AC68" s="74"/>
      <c r="AD68" s="74"/>
      <c r="AE68" s="74"/>
      <c r="AF68" s="74"/>
    </row>
    <row r="69" spans="18:32" ht="14.4" x14ac:dyDescent="0.3">
      <c r="R69" s="170"/>
      <c r="S69" s="74"/>
      <c r="T69" s="74"/>
      <c r="U69" s="74"/>
      <c r="V69" s="74"/>
      <c r="W69" s="74"/>
      <c r="X69" s="74"/>
      <c r="Y69" s="74"/>
      <c r="Z69" s="74"/>
      <c r="AA69" s="74"/>
      <c r="AB69" s="74"/>
      <c r="AC69" s="74"/>
      <c r="AD69" s="74"/>
      <c r="AE69" s="74"/>
      <c r="AF69" s="74"/>
    </row>
    <row r="70" spans="18:32" ht="14.4" x14ac:dyDescent="0.3">
      <c r="R70" s="170"/>
      <c r="S70" s="74"/>
      <c r="T70" s="74"/>
      <c r="U70" s="74"/>
      <c r="V70" s="74"/>
      <c r="W70" s="74"/>
      <c r="X70" s="74"/>
      <c r="Y70" s="74"/>
      <c r="Z70" s="74"/>
      <c r="AA70" s="74"/>
      <c r="AB70" s="74"/>
      <c r="AC70" s="74"/>
      <c r="AD70" s="74"/>
      <c r="AE70" s="74"/>
      <c r="AF70" s="74"/>
    </row>
  </sheetData>
  <phoneticPr fontId="6"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373"/>
  <sheetViews>
    <sheetView topLeftCell="A86" workbookViewId="0">
      <selection activeCell="A86" sqref="A1:XFD1048576"/>
    </sheetView>
  </sheetViews>
  <sheetFormatPr defaultRowHeight="13.2" x14ac:dyDescent="0.25"/>
  <cols>
    <col min="1" max="1" width="8.88671875" customWidth="1"/>
    <col min="2" max="2" width="4.5546875" hidden="1" customWidth="1"/>
    <col min="3" max="6" width="12" hidden="1" customWidth="1"/>
    <col min="7" max="10" width="9.88671875" customWidth="1"/>
    <col min="11" max="11" width="9.88671875" style="33" hidden="1" customWidth="1"/>
    <col min="12" max="12" width="13.21875" style="27" customWidth="1"/>
    <col min="13" max="24" width="7.77734375" customWidth="1"/>
  </cols>
  <sheetData>
    <row r="1" spans="1:24" ht="17.399999999999999" x14ac:dyDescent="0.3">
      <c r="A1" s="1" t="s">
        <v>260</v>
      </c>
      <c r="L1" s="26" t="s">
        <v>267</v>
      </c>
      <c r="M1" t="s">
        <v>266</v>
      </c>
      <c r="O1" s="6" t="s">
        <v>272</v>
      </c>
      <c r="P1" t="s">
        <v>256</v>
      </c>
      <c r="Q1" s="6" t="s">
        <v>271</v>
      </c>
      <c r="R1" s="118">
        <v>0.09</v>
      </c>
      <c r="S1" s="6" t="s">
        <v>270</v>
      </c>
      <c r="T1" s="118">
        <v>0.15</v>
      </c>
      <c r="U1" s="6" t="s">
        <v>268</v>
      </c>
      <c r="V1" s="118">
        <v>0.22</v>
      </c>
      <c r="W1" s="6" t="s">
        <v>269</v>
      </c>
      <c r="X1" s="118">
        <v>0.3</v>
      </c>
    </row>
    <row r="2" spans="1:24" hidden="1" x14ac:dyDescent="0.25">
      <c r="A2" s="6"/>
      <c r="C2" s="5"/>
      <c r="D2" s="5"/>
      <c r="E2" s="5"/>
    </row>
    <row r="3" spans="1:24" hidden="1" x14ac:dyDescent="0.25">
      <c r="A3" s="6"/>
      <c r="C3" s="5"/>
      <c r="D3" s="5"/>
      <c r="E3" s="5"/>
    </row>
    <row r="4" spans="1:24" hidden="1" x14ac:dyDescent="0.25">
      <c r="A4" s="6"/>
      <c r="C4" s="5"/>
      <c r="D4" s="5"/>
      <c r="E4" s="5"/>
    </row>
    <row r="5" spans="1:24" hidden="1" x14ac:dyDescent="0.25">
      <c r="A5" s="6"/>
      <c r="C5" s="5"/>
      <c r="D5" s="5"/>
      <c r="E5" s="5"/>
    </row>
    <row r="6" spans="1:24" hidden="1" x14ac:dyDescent="0.25">
      <c r="A6" s="6"/>
      <c r="C6" s="5"/>
      <c r="D6" s="5"/>
      <c r="E6" s="5"/>
    </row>
    <row r="7" spans="1:24" hidden="1" x14ac:dyDescent="0.25">
      <c r="A7" s="6"/>
      <c r="C7" s="5"/>
      <c r="D7" s="5"/>
      <c r="E7" s="5"/>
    </row>
    <row r="8" spans="1:24" x14ac:dyDescent="0.25">
      <c r="A8" s="6"/>
      <c r="C8" s="5"/>
      <c r="D8" s="5"/>
      <c r="E8" s="5"/>
    </row>
    <row r="9" spans="1:24" ht="17.399999999999999" hidden="1" x14ac:dyDescent="0.3">
      <c r="A9" s="1"/>
    </row>
    <row r="10" spans="1:24" hidden="1" x14ac:dyDescent="0.25">
      <c r="C10" s="2" t="s">
        <v>0</v>
      </c>
      <c r="D10" s="2" t="s">
        <v>1</v>
      </c>
      <c r="E10" s="2" t="s">
        <v>2</v>
      </c>
      <c r="F10" s="2" t="s">
        <v>3</v>
      </c>
      <c r="G10" s="3" t="s">
        <v>4</v>
      </c>
      <c r="H10" s="3" t="s">
        <v>5</v>
      </c>
      <c r="I10" s="3" t="s">
        <v>6</v>
      </c>
      <c r="J10" s="3" t="s">
        <v>7</v>
      </c>
      <c r="K10" s="34"/>
      <c r="L10" s="28"/>
    </row>
    <row r="11" spans="1:24" hidden="1" x14ac:dyDescent="0.25">
      <c r="A11" t="s">
        <v>8</v>
      </c>
      <c r="J11" s="4"/>
      <c r="K11" s="35"/>
      <c r="L11" s="28"/>
    </row>
    <row r="12" spans="1:24" hidden="1" x14ac:dyDescent="0.25">
      <c r="A12" t="s">
        <v>9</v>
      </c>
      <c r="C12">
        <v>13.85</v>
      </c>
      <c r="D12">
        <v>12.48</v>
      </c>
      <c r="E12">
        <v>11.7</v>
      </c>
      <c r="F12">
        <v>11.35</v>
      </c>
      <c r="G12">
        <v>10.75</v>
      </c>
      <c r="H12">
        <v>12.05</v>
      </c>
      <c r="I12">
        <v>12.05</v>
      </c>
      <c r="J12">
        <v>13.31</v>
      </c>
    </row>
    <row r="13" spans="1:24" hidden="1" x14ac:dyDescent="0.25">
      <c r="A13" t="s">
        <v>10</v>
      </c>
      <c r="C13">
        <v>250</v>
      </c>
      <c r="D13">
        <v>486</v>
      </c>
      <c r="E13">
        <v>644</v>
      </c>
      <c r="F13">
        <v>721</v>
      </c>
      <c r="G13">
        <v>962</v>
      </c>
      <c r="H13">
        <v>603</v>
      </c>
      <c r="I13">
        <v>603</v>
      </c>
      <c r="J13">
        <v>335</v>
      </c>
    </row>
    <row r="14" spans="1:24" hidden="1" x14ac:dyDescent="0.25">
      <c r="A14" t="s">
        <v>11</v>
      </c>
      <c r="B14">
        <v>872</v>
      </c>
      <c r="C14">
        <f t="shared" ref="C14:J14" si="0">$B14/C$13</f>
        <v>3.488</v>
      </c>
      <c r="D14">
        <f t="shared" si="0"/>
        <v>1.7942386831275721</v>
      </c>
      <c r="E14">
        <f t="shared" si="0"/>
        <v>1.3540372670807452</v>
      </c>
      <c r="F14">
        <f t="shared" si="0"/>
        <v>1.2094313453536754</v>
      </c>
      <c r="G14">
        <f t="shared" si="0"/>
        <v>0.9064449064449065</v>
      </c>
      <c r="H14">
        <f t="shared" si="0"/>
        <v>1.4461028192371477</v>
      </c>
      <c r="I14">
        <f t="shared" si="0"/>
        <v>1.4461028192371477</v>
      </c>
      <c r="J14" s="5">
        <f t="shared" si="0"/>
        <v>2.6029850746268655</v>
      </c>
      <c r="K14" s="36"/>
      <c r="L14" s="29"/>
      <c r="M14" s="5"/>
    </row>
    <row r="15" spans="1:24" hidden="1" x14ac:dyDescent="0.25">
      <c r="A15" s="6" t="s">
        <v>12</v>
      </c>
      <c r="B15">
        <v>301</v>
      </c>
      <c r="C15">
        <f t="shared" ref="C15:F20" si="1">$B15/C$14</f>
        <v>86.295871559633028</v>
      </c>
      <c r="D15">
        <f t="shared" si="1"/>
        <v>167.75917431192661</v>
      </c>
      <c r="E15">
        <f t="shared" si="1"/>
        <v>222.29816513761469</v>
      </c>
      <c r="F15">
        <f t="shared" si="1"/>
        <v>248.87729357798167</v>
      </c>
      <c r="G15">
        <v>13.32</v>
      </c>
      <c r="H15">
        <v>14.09</v>
      </c>
      <c r="I15">
        <v>14.09</v>
      </c>
      <c r="J15" s="7">
        <v>14.83</v>
      </c>
      <c r="K15" s="37"/>
      <c r="L15" s="29"/>
      <c r="M15" s="5"/>
    </row>
    <row r="16" spans="1:24" hidden="1" x14ac:dyDescent="0.25">
      <c r="A16">
        <v>7</v>
      </c>
      <c r="B16">
        <v>413</v>
      </c>
      <c r="C16">
        <f t="shared" si="1"/>
        <v>118.4059633027523</v>
      </c>
      <c r="D16">
        <f t="shared" si="1"/>
        <v>230.18119266055047</v>
      </c>
      <c r="E16">
        <f t="shared" si="1"/>
        <v>305.01376146788994</v>
      </c>
      <c r="F16">
        <f t="shared" si="1"/>
        <v>341.48279816513764</v>
      </c>
      <c r="G16">
        <v>12.7</v>
      </c>
      <c r="H16">
        <v>13.59</v>
      </c>
      <c r="I16">
        <v>13.59</v>
      </c>
      <c r="J16" s="7">
        <v>14.46</v>
      </c>
      <c r="K16" s="37"/>
      <c r="L16" s="29"/>
      <c r="M16" s="5"/>
    </row>
    <row r="17" spans="1:13" hidden="1" x14ac:dyDescent="0.25">
      <c r="A17">
        <v>8</v>
      </c>
      <c r="B17">
        <v>529</v>
      </c>
      <c r="C17">
        <f t="shared" si="1"/>
        <v>151.66284403669724</v>
      </c>
      <c r="D17">
        <f t="shared" si="1"/>
        <v>294.83256880733944</v>
      </c>
      <c r="E17">
        <f t="shared" si="1"/>
        <v>390.68348623853217</v>
      </c>
      <c r="F17">
        <f t="shared" si="1"/>
        <v>437.3956422018349</v>
      </c>
      <c r="G17">
        <v>12.13</v>
      </c>
      <c r="H17">
        <v>13.15</v>
      </c>
      <c r="I17">
        <v>13.15</v>
      </c>
      <c r="J17" s="7">
        <v>14.12</v>
      </c>
      <c r="K17" s="37"/>
      <c r="L17" s="29"/>
      <c r="M17" s="5"/>
    </row>
    <row r="18" spans="1:13" hidden="1" x14ac:dyDescent="0.25">
      <c r="A18">
        <v>9</v>
      </c>
      <c r="B18">
        <v>647</v>
      </c>
      <c r="C18">
        <f t="shared" si="1"/>
        <v>185.49311926605503</v>
      </c>
      <c r="D18">
        <f t="shared" si="1"/>
        <v>360.598623853211</v>
      </c>
      <c r="E18">
        <f t="shared" si="1"/>
        <v>477.83027522935782</v>
      </c>
      <c r="F18">
        <f t="shared" si="1"/>
        <v>534.96215596330285</v>
      </c>
      <c r="G18">
        <v>11.61</v>
      </c>
      <c r="H18">
        <v>12.73</v>
      </c>
      <c r="I18">
        <v>12.73</v>
      </c>
      <c r="J18" s="7">
        <v>13.82</v>
      </c>
      <c r="K18" s="37"/>
      <c r="L18" s="29"/>
      <c r="M18" s="5"/>
    </row>
    <row r="19" spans="1:13" hidden="1" x14ac:dyDescent="0.25">
      <c r="A19">
        <v>10</v>
      </c>
      <c r="B19">
        <v>765</v>
      </c>
      <c r="C19">
        <f t="shared" si="1"/>
        <v>219.32339449541286</v>
      </c>
      <c r="D19">
        <f t="shared" si="1"/>
        <v>426.36467889908255</v>
      </c>
      <c r="E19">
        <f t="shared" si="1"/>
        <v>564.97706422018348</v>
      </c>
      <c r="F19">
        <f t="shared" si="1"/>
        <v>632.52866972477068</v>
      </c>
      <c r="G19">
        <v>11.14</v>
      </c>
      <c r="H19">
        <v>12.36</v>
      </c>
      <c r="I19">
        <v>12.36</v>
      </c>
      <c r="J19" s="7">
        <v>13.55</v>
      </c>
      <c r="K19" s="37"/>
      <c r="L19" s="29"/>
      <c r="M19" s="5"/>
    </row>
    <row r="20" spans="1:13" hidden="1" x14ac:dyDescent="0.25">
      <c r="A20">
        <v>11</v>
      </c>
      <c r="B20">
        <v>888</v>
      </c>
      <c r="C20">
        <f t="shared" si="1"/>
        <v>254.58715596330276</v>
      </c>
      <c r="D20">
        <f t="shared" si="1"/>
        <v>494.91743119266056</v>
      </c>
      <c r="E20">
        <f t="shared" si="1"/>
        <v>655.81651376146795</v>
      </c>
      <c r="F20">
        <f t="shared" si="1"/>
        <v>734.22935779816521</v>
      </c>
      <c r="G20">
        <v>10.7</v>
      </c>
      <c r="H20">
        <v>12</v>
      </c>
      <c r="I20">
        <v>12</v>
      </c>
      <c r="J20" s="7">
        <v>13.27</v>
      </c>
      <c r="K20" s="37"/>
      <c r="L20" s="29"/>
      <c r="M20" s="5"/>
    </row>
    <row r="21" spans="1:13" hidden="1" x14ac:dyDescent="0.25">
      <c r="J21" s="7"/>
      <c r="K21" s="37"/>
      <c r="L21" s="29"/>
      <c r="M21" s="5"/>
    </row>
    <row r="22" spans="1:13" hidden="1" x14ac:dyDescent="0.25">
      <c r="A22" t="s">
        <v>13</v>
      </c>
    </row>
    <row r="23" spans="1:13" hidden="1" x14ac:dyDescent="0.25">
      <c r="A23" t="s">
        <v>9</v>
      </c>
      <c r="C23" s="8">
        <v>14</v>
      </c>
      <c r="D23" s="8">
        <v>13.18</v>
      </c>
      <c r="E23">
        <v>12.37</v>
      </c>
      <c r="F23">
        <v>12.5</v>
      </c>
      <c r="G23">
        <v>12.56</v>
      </c>
      <c r="H23">
        <v>13.41</v>
      </c>
      <c r="I23">
        <v>14.51</v>
      </c>
      <c r="J23">
        <v>15.59</v>
      </c>
    </row>
    <row r="24" spans="1:13" hidden="1" x14ac:dyDescent="0.25">
      <c r="A24" t="s">
        <v>10</v>
      </c>
      <c r="C24">
        <v>228</v>
      </c>
      <c r="D24">
        <v>359</v>
      </c>
      <c r="E24">
        <v>507</v>
      </c>
      <c r="F24">
        <v>482</v>
      </c>
      <c r="G24">
        <v>916</v>
      </c>
      <c r="H24">
        <v>779</v>
      </c>
      <c r="I24">
        <v>619</v>
      </c>
      <c r="J24">
        <v>450</v>
      </c>
      <c r="M24" t="s">
        <v>14</v>
      </c>
    </row>
    <row r="25" spans="1:13" hidden="1" x14ac:dyDescent="0.25">
      <c r="A25" t="s">
        <v>11</v>
      </c>
      <c r="B25">
        <v>872</v>
      </c>
      <c r="C25" s="5">
        <f t="shared" ref="C25:J25" si="2">$B25/C$24</f>
        <v>3.8245614035087718</v>
      </c>
      <c r="D25" s="5">
        <f t="shared" si="2"/>
        <v>2.4289693593314765</v>
      </c>
      <c r="E25" s="5">
        <f t="shared" si="2"/>
        <v>1.7199211045364891</v>
      </c>
      <c r="F25" s="5">
        <f t="shared" si="2"/>
        <v>1.8091286307053942</v>
      </c>
      <c r="G25" s="5">
        <f t="shared" si="2"/>
        <v>0.95196506550218341</v>
      </c>
      <c r="H25" s="5">
        <f t="shared" si="2"/>
        <v>1.1193838254172015</v>
      </c>
      <c r="I25" s="5">
        <f t="shared" si="2"/>
        <v>1.4087237479806138</v>
      </c>
      <c r="J25" s="5">
        <f t="shared" si="2"/>
        <v>1.9377777777777778</v>
      </c>
      <c r="K25" s="36"/>
      <c r="L25" s="29"/>
    </row>
    <row r="26" spans="1:13" hidden="1" x14ac:dyDescent="0.25">
      <c r="A26" s="6" t="s">
        <v>12</v>
      </c>
      <c r="B26">
        <v>301</v>
      </c>
      <c r="C26">
        <f t="shared" ref="C26:F31" si="3">$B26/C$25</f>
        <v>78.701834862385326</v>
      </c>
      <c r="D26">
        <f t="shared" si="3"/>
        <v>123.92087155963301</v>
      </c>
      <c r="E26">
        <f t="shared" si="3"/>
        <v>175.00802752293578</v>
      </c>
      <c r="F26">
        <f t="shared" si="3"/>
        <v>166.37844036697248</v>
      </c>
      <c r="G26">
        <v>17.07</v>
      </c>
      <c r="H26">
        <v>17.579999999999998</v>
      </c>
      <c r="I26" s="5">
        <v>18.22</v>
      </c>
      <c r="J26" s="5">
        <v>18.850000000000001</v>
      </c>
      <c r="K26" s="36"/>
      <c r="L26" s="29"/>
    </row>
    <row r="27" spans="1:13" hidden="1" x14ac:dyDescent="0.25">
      <c r="A27">
        <v>7</v>
      </c>
      <c r="B27">
        <v>413</v>
      </c>
      <c r="C27">
        <f t="shared" si="3"/>
        <v>107.98623853211009</v>
      </c>
      <c r="D27">
        <f t="shared" si="3"/>
        <v>170.03096330275227</v>
      </c>
      <c r="E27">
        <f t="shared" si="3"/>
        <v>240.12729357798167</v>
      </c>
      <c r="F27">
        <f t="shared" si="3"/>
        <v>228.28669724770643</v>
      </c>
      <c r="G27">
        <v>15.98</v>
      </c>
      <c r="H27">
        <v>16.559999999999999</v>
      </c>
      <c r="I27" s="5">
        <v>17.309999999999999</v>
      </c>
      <c r="J27" s="5">
        <v>18.059999999999999</v>
      </c>
      <c r="K27" s="36"/>
      <c r="L27" s="29"/>
    </row>
    <row r="28" spans="1:13" hidden="1" x14ac:dyDescent="0.25">
      <c r="A28">
        <v>8</v>
      </c>
      <c r="B28">
        <v>529</v>
      </c>
      <c r="C28">
        <f t="shared" si="3"/>
        <v>138.31651376146789</v>
      </c>
      <c r="D28">
        <f t="shared" si="3"/>
        <v>217.78784403669724</v>
      </c>
      <c r="E28">
        <f t="shared" si="3"/>
        <v>307.57224770642205</v>
      </c>
      <c r="F28">
        <f t="shared" si="3"/>
        <v>292.4059633027523</v>
      </c>
      <c r="G28">
        <v>14.98</v>
      </c>
      <c r="H28">
        <v>15.65</v>
      </c>
      <c r="I28" s="5">
        <v>16.5</v>
      </c>
      <c r="J28" s="5">
        <v>17.34</v>
      </c>
      <c r="K28" s="36"/>
      <c r="L28" s="29"/>
    </row>
    <row r="29" spans="1:13" hidden="1" x14ac:dyDescent="0.25">
      <c r="A29">
        <v>9</v>
      </c>
      <c r="B29">
        <v>647</v>
      </c>
      <c r="C29">
        <f t="shared" si="3"/>
        <v>169.1697247706422</v>
      </c>
      <c r="D29">
        <f t="shared" si="3"/>
        <v>266.36811926605503</v>
      </c>
      <c r="E29">
        <f t="shared" si="3"/>
        <v>376.18004587155963</v>
      </c>
      <c r="F29">
        <f t="shared" si="3"/>
        <v>357.6307339449541</v>
      </c>
      <c r="G29">
        <v>14.08</v>
      </c>
      <c r="H29">
        <v>14.81</v>
      </c>
      <c r="I29" s="5">
        <v>15.75</v>
      </c>
      <c r="J29" s="5">
        <v>16.690000000000001</v>
      </c>
      <c r="K29" s="36"/>
      <c r="L29" s="29"/>
    </row>
    <row r="30" spans="1:13" hidden="1" x14ac:dyDescent="0.25">
      <c r="A30">
        <v>10</v>
      </c>
      <c r="B30">
        <v>765</v>
      </c>
      <c r="C30">
        <f t="shared" si="3"/>
        <v>200.02293577981652</v>
      </c>
      <c r="D30">
        <f t="shared" si="3"/>
        <v>314.9483944954128</v>
      </c>
      <c r="E30">
        <f t="shared" si="3"/>
        <v>444.78784403669727</v>
      </c>
      <c r="F30">
        <f t="shared" si="3"/>
        <v>422.85550458715596</v>
      </c>
      <c r="G30">
        <v>13.26</v>
      </c>
      <c r="H30">
        <v>14.05</v>
      </c>
      <c r="I30" s="5">
        <v>15.08</v>
      </c>
      <c r="J30" s="5">
        <v>16.09</v>
      </c>
      <c r="K30" s="36"/>
      <c r="L30" s="29"/>
    </row>
    <row r="31" spans="1:13" hidden="1" x14ac:dyDescent="0.25">
      <c r="A31">
        <v>11</v>
      </c>
      <c r="B31">
        <v>888</v>
      </c>
      <c r="C31">
        <f t="shared" si="3"/>
        <v>232.18348623853211</v>
      </c>
      <c r="D31">
        <f t="shared" si="3"/>
        <v>365.58715596330273</v>
      </c>
      <c r="E31">
        <f t="shared" si="3"/>
        <v>516.30275229357801</v>
      </c>
      <c r="F31">
        <f t="shared" si="3"/>
        <v>490.8440366972477</v>
      </c>
      <c r="G31">
        <v>12.46</v>
      </c>
      <c r="H31">
        <v>13.33</v>
      </c>
      <c r="I31" s="5">
        <v>14.43</v>
      </c>
      <c r="J31" s="5">
        <v>15.52</v>
      </c>
      <c r="K31" s="36"/>
      <c r="L31" s="29"/>
    </row>
    <row r="32" spans="1:13" hidden="1" x14ac:dyDescent="0.25">
      <c r="I32" s="5"/>
      <c r="J32" s="5"/>
      <c r="K32" s="36"/>
      <c r="L32" s="29"/>
    </row>
    <row r="33" spans="1:12" hidden="1" x14ac:dyDescent="0.25">
      <c r="A33" t="s">
        <v>15</v>
      </c>
      <c r="C33" s="5"/>
      <c r="D33" s="5"/>
      <c r="E33" s="5"/>
      <c r="F33" s="5"/>
      <c r="G33" s="5"/>
      <c r="H33" s="5"/>
      <c r="I33" s="5"/>
    </row>
    <row r="34" spans="1:12" hidden="1" x14ac:dyDescent="0.25">
      <c r="A34" t="s">
        <v>9</v>
      </c>
      <c r="C34" s="5">
        <v>29.39</v>
      </c>
      <c r="D34" s="5">
        <v>26.27</v>
      </c>
      <c r="E34" s="5">
        <v>24.26</v>
      </c>
      <c r="F34" s="5">
        <v>22.82</v>
      </c>
      <c r="G34" s="5">
        <v>21.99</v>
      </c>
      <c r="H34" s="5">
        <v>25.18</v>
      </c>
      <c r="I34" s="5">
        <v>26.35</v>
      </c>
      <c r="J34">
        <v>27.61</v>
      </c>
    </row>
    <row r="35" spans="1:12" hidden="1" x14ac:dyDescent="0.25">
      <c r="A35" t="s">
        <v>10</v>
      </c>
      <c r="C35" s="5">
        <v>243</v>
      </c>
      <c r="D35" s="5">
        <v>455</v>
      </c>
      <c r="E35" s="5">
        <v>621</v>
      </c>
      <c r="F35" s="5">
        <v>757</v>
      </c>
      <c r="G35" s="5">
        <v>918</v>
      </c>
      <c r="H35" s="5">
        <v>425</v>
      </c>
      <c r="I35" s="5">
        <v>425</v>
      </c>
      <c r="J35">
        <v>316</v>
      </c>
    </row>
    <row r="36" spans="1:12" hidden="1" x14ac:dyDescent="0.25">
      <c r="A36" t="s">
        <v>11</v>
      </c>
      <c r="B36">
        <v>872</v>
      </c>
      <c r="C36" s="5">
        <f t="shared" ref="C36:I36" si="4">$B36/C35</f>
        <v>3.5884773662551441</v>
      </c>
      <c r="D36" s="5">
        <f t="shared" si="4"/>
        <v>1.9164835164835166</v>
      </c>
      <c r="E36" s="5">
        <f t="shared" si="4"/>
        <v>1.4041867954911433</v>
      </c>
      <c r="F36" s="5">
        <f t="shared" si="4"/>
        <v>1.1519154557463673</v>
      </c>
      <c r="G36" s="5">
        <f t="shared" si="4"/>
        <v>0.94989106753812635</v>
      </c>
      <c r="H36" s="5">
        <f t="shared" si="4"/>
        <v>2.0517647058823529</v>
      </c>
      <c r="I36" s="5">
        <f t="shared" si="4"/>
        <v>2.0517647058823529</v>
      </c>
      <c r="J36" s="5">
        <f>$B36/J$35</f>
        <v>2.759493670886076</v>
      </c>
      <c r="K36" s="36"/>
      <c r="L36" s="29"/>
    </row>
    <row r="37" spans="1:12" hidden="1" x14ac:dyDescent="0.25">
      <c r="A37" s="6" t="s">
        <v>12</v>
      </c>
      <c r="B37">
        <v>301</v>
      </c>
      <c r="C37" s="5">
        <f t="shared" ref="C37:F42" si="5">$B37/C$36</f>
        <v>83.879587155963307</v>
      </c>
      <c r="D37" s="5">
        <f t="shared" si="5"/>
        <v>157.05848623853211</v>
      </c>
      <c r="E37" s="5">
        <f t="shared" si="5"/>
        <v>214.35894495412845</v>
      </c>
      <c r="F37" s="5">
        <f t="shared" si="5"/>
        <v>261.30389908256876</v>
      </c>
      <c r="G37" s="5">
        <v>27.56</v>
      </c>
      <c r="H37" s="5">
        <v>29.44</v>
      </c>
      <c r="I37" s="5">
        <v>30.13</v>
      </c>
      <c r="J37" s="5">
        <v>30.86</v>
      </c>
      <c r="K37" s="36"/>
      <c r="L37" s="29"/>
    </row>
    <row r="38" spans="1:12" hidden="1" x14ac:dyDescent="0.25">
      <c r="A38">
        <v>7</v>
      </c>
      <c r="B38">
        <v>413</v>
      </c>
      <c r="C38" s="5">
        <f t="shared" si="5"/>
        <v>115.09059633027523</v>
      </c>
      <c r="D38" s="5">
        <f t="shared" si="5"/>
        <v>215.49885321100916</v>
      </c>
      <c r="E38" s="5">
        <f t="shared" si="5"/>
        <v>294.12041284403671</v>
      </c>
      <c r="F38" s="5">
        <f t="shared" si="5"/>
        <v>358.53325688073392</v>
      </c>
      <c r="G38" s="5">
        <v>26.2</v>
      </c>
      <c r="H38" s="5">
        <v>28.4</v>
      </c>
      <c r="I38" s="5">
        <v>29.2</v>
      </c>
      <c r="J38" s="5">
        <v>30.08</v>
      </c>
      <c r="K38" s="36"/>
      <c r="L38" s="29"/>
    </row>
    <row r="39" spans="1:12" hidden="1" x14ac:dyDescent="0.25">
      <c r="A39">
        <v>8</v>
      </c>
      <c r="B39">
        <v>529</v>
      </c>
      <c r="C39" s="5">
        <f t="shared" si="5"/>
        <v>147.41628440366972</v>
      </c>
      <c r="D39" s="5">
        <f t="shared" si="5"/>
        <v>276.026376146789</v>
      </c>
      <c r="E39" s="5">
        <f t="shared" si="5"/>
        <v>376.73050458715596</v>
      </c>
      <c r="F39" s="5">
        <f t="shared" si="5"/>
        <v>459.23509174311926</v>
      </c>
      <c r="G39" s="5">
        <v>24.98</v>
      </c>
      <c r="H39" s="5">
        <v>27.46</v>
      </c>
      <c r="I39" s="5">
        <v>28.38</v>
      </c>
      <c r="J39" s="5">
        <v>29.36</v>
      </c>
      <c r="K39" s="36"/>
      <c r="L39" s="29"/>
    </row>
    <row r="40" spans="1:12" hidden="1" x14ac:dyDescent="0.25">
      <c r="A40">
        <v>9</v>
      </c>
      <c r="B40">
        <v>647</v>
      </c>
      <c r="C40" s="5">
        <f t="shared" si="5"/>
        <v>180.2993119266055</v>
      </c>
      <c r="D40" s="5">
        <f t="shared" si="5"/>
        <v>337.59747706422019</v>
      </c>
      <c r="E40" s="5">
        <f t="shared" si="5"/>
        <v>460.76490825688074</v>
      </c>
      <c r="F40" s="5">
        <f t="shared" si="5"/>
        <v>561.67316513761466</v>
      </c>
      <c r="G40" s="5">
        <v>23.87</v>
      </c>
      <c r="H40" s="5">
        <v>26.61</v>
      </c>
      <c r="I40" s="5">
        <v>27.62</v>
      </c>
      <c r="J40" s="5">
        <v>28.71</v>
      </c>
      <c r="K40" s="36"/>
      <c r="L40" s="29"/>
    </row>
    <row r="41" spans="1:12" hidden="1" x14ac:dyDescent="0.25">
      <c r="A41">
        <v>10</v>
      </c>
      <c r="B41">
        <v>765</v>
      </c>
      <c r="C41" s="5">
        <f t="shared" si="5"/>
        <v>213.18233944954127</v>
      </c>
      <c r="D41" s="5">
        <f t="shared" si="5"/>
        <v>399.16857798165137</v>
      </c>
      <c r="E41" s="5">
        <f t="shared" si="5"/>
        <v>544.79931192660547</v>
      </c>
      <c r="F41" s="5">
        <f t="shared" si="5"/>
        <v>664.11123853211006</v>
      </c>
      <c r="G41" s="5">
        <v>22.85</v>
      </c>
      <c r="H41" s="5">
        <v>25.84</v>
      </c>
      <c r="I41" s="5">
        <v>26.94</v>
      </c>
      <c r="J41" s="5">
        <v>28.11</v>
      </c>
      <c r="K41" s="36"/>
      <c r="L41" s="29"/>
    </row>
    <row r="42" spans="1:12" hidden="1" x14ac:dyDescent="0.25">
      <c r="A42">
        <v>11</v>
      </c>
      <c r="B42">
        <v>888</v>
      </c>
      <c r="C42" s="5">
        <f t="shared" si="5"/>
        <v>247.45871559633028</v>
      </c>
      <c r="D42" s="5">
        <f t="shared" si="5"/>
        <v>463.348623853211</v>
      </c>
      <c r="E42" s="5">
        <f t="shared" si="5"/>
        <v>632.39449541284398</v>
      </c>
      <c r="F42" s="5">
        <f t="shared" si="5"/>
        <v>770.88990825688063</v>
      </c>
      <c r="G42" s="5">
        <v>21.87</v>
      </c>
      <c r="H42" s="5">
        <v>25.09</v>
      </c>
      <c r="I42" s="5">
        <v>26.27</v>
      </c>
      <c r="J42" s="5">
        <v>27.55</v>
      </c>
      <c r="K42" s="36"/>
      <c r="L42" s="29"/>
    </row>
    <row r="43" spans="1:12" hidden="1" x14ac:dyDescent="0.25">
      <c r="C43" s="5"/>
      <c r="D43" s="5"/>
      <c r="E43" s="5"/>
      <c r="F43" s="5"/>
      <c r="G43" s="5"/>
      <c r="H43" s="5"/>
      <c r="I43" s="5"/>
      <c r="J43" s="5"/>
      <c r="K43" s="36"/>
      <c r="L43" s="29"/>
    </row>
    <row r="44" spans="1:12" hidden="1" x14ac:dyDescent="0.25">
      <c r="A44" t="s">
        <v>16</v>
      </c>
      <c r="C44" s="5"/>
      <c r="D44" s="5"/>
      <c r="E44" s="5"/>
      <c r="F44" s="5"/>
      <c r="G44" s="5"/>
      <c r="H44" s="5"/>
      <c r="I44" s="5"/>
    </row>
    <row r="45" spans="1:12" hidden="1" x14ac:dyDescent="0.25">
      <c r="A45" t="s">
        <v>9</v>
      </c>
      <c r="C45" s="5">
        <v>29.29</v>
      </c>
      <c r="D45" s="5">
        <v>27.42</v>
      </c>
      <c r="E45" s="5">
        <v>26.36</v>
      </c>
      <c r="F45" s="5">
        <v>26.36</v>
      </c>
      <c r="G45" s="5">
        <v>26.08</v>
      </c>
      <c r="H45" s="5">
        <v>28.27</v>
      </c>
      <c r="I45" s="5">
        <v>30.3</v>
      </c>
      <c r="J45">
        <v>32.770000000000003</v>
      </c>
    </row>
    <row r="46" spans="1:12" hidden="1" x14ac:dyDescent="0.25">
      <c r="A46" t="s">
        <v>10</v>
      </c>
      <c r="C46" s="5">
        <v>249</v>
      </c>
      <c r="D46" s="5">
        <v>371</v>
      </c>
      <c r="E46" s="5">
        <v>448</v>
      </c>
      <c r="F46" s="5">
        <v>448</v>
      </c>
      <c r="G46" s="5">
        <v>892</v>
      </c>
      <c r="H46" s="5">
        <v>733</v>
      </c>
      <c r="I46" s="5">
        <v>599</v>
      </c>
      <c r="J46">
        <v>455</v>
      </c>
    </row>
    <row r="47" spans="1:12" hidden="1" x14ac:dyDescent="0.25">
      <c r="A47" t="s">
        <v>11</v>
      </c>
      <c r="B47">
        <v>872</v>
      </c>
      <c r="C47" s="5">
        <f t="shared" ref="C47:J47" si="6">$B47/C46</f>
        <v>3.5020080321285141</v>
      </c>
      <c r="D47" s="5">
        <f t="shared" si="6"/>
        <v>2.3504043126684637</v>
      </c>
      <c r="E47">
        <f t="shared" si="6"/>
        <v>1.9464285714285714</v>
      </c>
      <c r="F47">
        <f t="shared" si="6"/>
        <v>1.9464285714285714</v>
      </c>
      <c r="G47">
        <f t="shared" si="6"/>
        <v>0.97757847533632292</v>
      </c>
      <c r="H47">
        <f t="shared" si="6"/>
        <v>1.1896316507503411</v>
      </c>
      <c r="I47">
        <f t="shared" si="6"/>
        <v>1.4557595993322203</v>
      </c>
      <c r="J47">
        <f t="shared" si="6"/>
        <v>1.9164835164835166</v>
      </c>
    </row>
    <row r="48" spans="1:12" hidden="1" x14ac:dyDescent="0.25">
      <c r="A48" s="6" t="s">
        <v>12</v>
      </c>
      <c r="B48">
        <v>301</v>
      </c>
      <c r="C48" s="5">
        <f t="shared" ref="C48:F53" si="7">$B48/C$47</f>
        <v>85.950688073394488</v>
      </c>
      <c r="D48" s="5">
        <f t="shared" si="7"/>
        <v>128.0630733944954</v>
      </c>
      <c r="E48">
        <f t="shared" si="7"/>
        <v>154.64220183486239</v>
      </c>
      <c r="F48">
        <f t="shared" si="7"/>
        <v>154.64220183486239</v>
      </c>
      <c r="G48">
        <v>35.76</v>
      </c>
      <c r="H48">
        <v>37.020000000000003</v>
      </c>
      <c r="I48">
        <v>38.24</v>
      </c>
      <c r="J48">
        <v>39.67</v>
      </c>
    </row>
    <row r="49" spans="1:13" hidden="1" x14ac:dyDescent="0.25">
      <c r="A49">
        <v>7</v>
      </c>
      <c r="B49">
        <v>413</v>
      </c>
      <c r="C49" s="5">
        <f t="shared" si="7"/>
        <v>117.93233944954129</v>
      </c>
      <c r="D49" s="5">
        <f t="shared" si="7"/>
        <v>175.71444954128441</v>
      </c>
      <c r="E49">
        <f t="shared" si="7"/>
        <v>212.18348623853211</v>
      </c>
      <c r="F49">
        <f t="shared" si="7"/>
        <v>212.18348623853211</v>
      </c>
      <c r="G49">
        <v>33.39</v>
      </c>
      <c r="H49">
        <v>34.89</v>
      </c>
      <c r="I49">
        <v>36.31</v>
      </c>
      <c r="J49">
        <v>38</v>
      </c>
    </row>
    <row r="50" spans="1:13" hidden="1" x14ac:dyDescent="0.25">
      <c r="A50">
        <v>8</v>
      </c>
      <c r="B50">
        <v>529</v>
      </c>
      <c r="C50" s="5">
        <f t="shared" si="7"/>
        <v>151.05619266055047</v>
      </c>
      <c r="D50" s="5">
        <f t="shared" si="7"/>
        <v>225.0676605504587</v>
      </c>
      <c r="E50">
        <f t="shared" si="7"/>
        <v>271.77981651376149</v>
      </c>
      <c r="F50">
        <f t="shared" si="7"/>
        <v>271.77981651376149</v>
      </c>
      <c r="G50">
        <v>31.26</v>
      </c>
      <c r="H50">
        <v>32.979999999999997</v>
      </c>
      <c r="I50">
        <v>34.56</v>
      </c>
      <c r="J50">
        <v>36.47</v>
      </c>
    </row>
    <row r="51" spans="1:13" hidden="1" x14ac:dyDescent="0.25">
      <c r="A51">
        <v>9</v>
      </c>
      <c r="B51">
        <v>647</v>
      </c>
      <c r="C51" s="5">
        <f t="shared" si="7"/>
        <v>184.75114678899084</v>
      </c>
      <c r="D51" s="5">
        <f t="shared" si="7"/>
        <v>275.27178899082566</v>
      </c>
      <c r="E51">
        <f t="shared" si="7"/>
        <v>332.40366972477062</v>
      </c>
      <c r="F51">
        <f t="shared" si="7"/>
        <v>332.40366972477062</v>
      </c>
      <c r="G51">
        <v>29.34</v>
      </c>
      <c r="H51">
        <v>31.23</v>
      </c>
      <c r="I51">
        <v>32.979999999999997</v>
      </c>
      <c r="J51">
        <v>35.1</v>
      </c>
    </row>
    <row r="52" spans="1:13" hidden="1" x14ac:dyDescent="0.25">
      <c r="A52">
        <v>10</v>
      </c>
      <c r="B52">
        <v>765</v>
      </c>
      <c r="C52" s="5">
        <f t="shared" si="7"/>
        <v>218.44610091743118</v>
      </c>
      <c r="D52" s="5">
        <f t="shared" si="7"/>
        <v>325.47591743119267</v>
      </c>
      <c r="E52">
        <f t="shared" si="7"/>
        <v>393.02752293577981</v>
      </c>
      <c r="F52">
        <f t="shared" si="7"/>
        <v>393.02752293577981</v>
      </c>
      <c r="G52">
        <v>27.57</v>
      </c>
      <c r="H52">
        <v>29.62</v>
      </c>
      <c r="I52">
        <v>31.53</v>
      </c>
      <c r="J52">
        <v>33.83</v>
      </c>
    </row>
    <row r="53" spans="1:13" hidden="1" x14ac:dyDescent="0.25">
      <c r="A53">
        <v>11</v>
      </c>
      <c r="B53">
        <v>888</v>
      </c>
      <c r="C53" s="5">
        <f t="shared" si="7"/>
        <v>253.56880733944953</v>
      </c>
      <c r="D53" s="5">
        <f t="shared" si="7"/>
        <v>377.80733944954125</v>
      </c>
      <c r="E53">
        <f t="shared" si="7"/>
        <v>456.22018348623851</v>
      </c>
      <c r="F53">
        <f t="shared" si="7"/>
        <v>456.22018348623851</v>
      </c>
      <c r="G53">
        <v>25.87</v>
      </c>
      <c r="H53">
        <v>28.37</v>
      </c>
      <c r="I53">
        <v>30.15</v>
      </c>
      <c r="J53">
        <v>32.630000000000003</v>
      </c>
    </row>
    <row r="54" spans="1:13" hidden="1" x14ac:dyDescent="0.25">
      <c r="C54" s="5"/>
      <c r="D54" s="5"/>
    </row>
    <row r="55" spans="1:13" hidden="1" x14ac:dyDescent="0.25">
      <c r="A55" t="s">
        <v>17</v>
      </c>
      <c r="C55" s="5"/>
      <c r="D55" s="5"/>
    </row>
    <row r="56" spans="1:13" hidden="1" x14ac:dyDescent="0.25">
      <c r="A56" t="s">
        <v>9</v>
      </c>
      <c r="C56" s="5" t="s">
        <v>18</v>
      </c>
      <c r="D56" s="5">
        <v>45.71</v>
      </c>
      <c r="E56" s="5">
        <v>43.69</v>
      </c>
      <c r="F56" s="5">
        <v>43.68</v>
      </c>
      <c r="G56" s="5">
        <v>42.9</v>
      </c>
      <c r="H56" s="5">
        <v>46.02</v>
      </c>
      <c r="I56" s="5">
        <v>48.11</v>
      </c>
      <c r="J56">
        <v>51.41</v>
      </c>
      <c r="M56" t="s">
        <v>14</v>
      </c>
    </row>
    <row r="57" spans="1:13" hidden="1" x14ac:dyDescent="0.25">
      <c r="A57" s="6" t="s">
        <v>12</v>
      </c>
      <c r="B57">
        <v>301</v>
      </c>
      <c r="C57" s="5" t="e">
        <f>$B57/#REF!</f>
        <v>#REF!</v>
      </c>
      <c r="D57" s="5" t="e">
        <f>$B57/#REF!</f>
        <v>#REF!</v>
      </c>
      <c r="E57" s="5" t="e">
        <f>$B57/#REF!</f>
        <v>#REF!</v>
      </c>
      <c r="F57" t="e">
        <f>$B57/#REF!</f>
        <v>#REF!</v>
      </c>
      <c r="G57">
        <v>59.04</v>
      </c>
      <c r="H57">
        <v>60</v>
      </c>
      <c r="I57">
        <v>62</v>
      </c>
      <c r="J57" s="6">
        <v>64.05</v>
      </c>
      <c r="K57" s="38"/>
    </row>
    <row r="58" spans="1:13" hidden="1" x14ac:dyDescent="0.25">
      <c r="A58">
        <v>7</v>
      </c>
      <c r="B58">
        <v>413</v>
      </c>
      <c r="C58" s="5" t="e">
        <f>$B58/#REF!</f>
        <v>#REF!</v>
      </c>
      <c r="D58" s="5" t="e">
        <f>$B58/#REF!</f>
        <v>#REF!</v>
      </c>
      <c r="E58" s="5" t="e">
        <f>$B58/#REF!</f>
        <v>#REF!</v>
      </c>
      <c r="F58" t="e">
        <f>$B58/#REF!</f>
        <v>#REF!</v>
      </c>
      <c r="G58">
        <v>55.11</v>
      </c>
      <c r="H58">
        <v>57.27</v>
      </c>
      <c r="I58">
        <v>58.61</v>
      </c>
      <c r="J58" s="6">
        <v>60.96</v>
      </c>
      <c r="K58" s="38"/>
    </row>
    <row r="59" spans="1:13" hidden="1" x14ac:dyDescent="0.25">
      <c r="A59">
        <v>8</v>
      </c>
      <c r="B59">
        <v>529</v>
      </c>
      <c r="C59" s="5" t="e">
        <f>$B59/#REF!</f>
        <v>#REF!</v>
      </c>
      <c r="D59" s="5" t="e">
        <f>$B59/#REF!</f>
        <v>#REF!</v>
      </c>
      <c r="E59" s="5" t="e">
        <f>$B59/#REF!</f>
        <v>#REF!</v>
      </c>
      <c r="F59" t="e">
        <f>$B59/#REF!</f>
        <v>#REF!</v>
      </c>
      <c r="G59">
        <v>51.56</v>
      </c>
      <c r="H59">
        <v>53.99</v>
      </c>
      <c r="I59">
        <v>55.61</v>
      </c>
      <c r="J59">
        <v>58.19</v>
      </c>
    </row>
    <row r="60" spans="1:13" hidden="1" x14ac:dyDescent="0.25">
      <c r="A60">
        <v>9</v>
      </c>
      <c r="B60">
        <v>647</v>
      </c>
      <c r="C60" s="5" t="e">
        <f>$B60/#REF!</f>
        <v>#REF!</v>
      </c>
      <c r="D60" s="5" t="e">
        <f>$B60/#REF!</f>
        <v>#REF!</v>
      </c>
      <c r="E60" s="5" t="e">
        <f>$B60/#REF!</f>
        <v>#REF!</v>
      </c>
      <c r="F60" t="e">
        <f>$B60/#REF!</f>
        <v>#REF!</v>
      </c>
      <c r="G60">
        <v>48.33</v>
      </c>
      <c r="H60">
        <v>51.03</v>
      </c>
      <c r="I60">
        <v>52.83</v>
      </c>
      <c r="J60">
        <v>55.68</v>
      </c>
    </row>
    <row r="61" spans="1:13" hidden="1" x14ac:dyDescent="0.25">
      <c r="A61">
        <v>10</v>
      </c>
      <c r="B61">
        <v>765</v>
      </c>
      <c r="C61" s="5" t="e">
        <f>$B61/#REF!</f>
        <v>#REF!</v>
      </c>
      <c r="D61" s="5" t="e">
        <f>$B61/#REF!</f>
        <v>#REF!</v>
      </c>
      <c r="E61" s="5" t="e">
        <f>$B61/#REF!</f>
        <v>#REF!</v>
      </c>
      <c r="F61" t="e">
        <f>$B61/#REF!</f>
        <v>#REF!</v>
      </c>
      <c r="G61">
        <v>45.39</v>
      </c>
      <c r="H61">
        <v>48.33</v>
      </c>
      <c r="I61">
        <v>50.29</v>
      </c>
      <c r="J61">
        <v>53.36</v>
      </c>
    </row>
    <row r="62" spans="1:13" hidden="1" x14ac:dyDescent="0.25">
      <c r="A62">
        <v>11</v>
      </c>
      <c r="B62">
        <v>888</v>
      </c>
      <c r="C62" s="5" t="e">
        <f>$B62/#REF!</f>
        <v>#REF!</v>
      </c>
      <c r="D62" s="5" t="e">
        <f>$B62/#REF!</f>
        <v>#REF!</v>
      </c>
      <c r="E62" s="5" t="e">
        <f>$B62/#REF!</f>
        <v>#REF!</v>
      </c>
      <c r="F62" t="e">
        <f>$B62/#REF!</f>
        <v>#REF!</v>
      </c>
      <c r="G62">
        <v>42.55</v>
      </c>
      <c r="H62">
        <v>45.71</v>
      </c>
      <c r="I62">
        <v>47.83</v>
      </c>
      <c r="J62">
        <v>51.15</v>
      </c>
    </row>
    <row r="63" spans="1:13" hidden="1" x14ac:dyDescent="0.25">
      <c r="C63" s="5"/>
      <c r="D63" s="5"/>
      <c r="E63" s="5"/>
    </row>
    <row r="64" spans="1:13" hidden="1" x14ac:dyDescent="0.25">
      <c r="A64" t="s">
        <v>19</v>
      </c>
      <c r="C64" s="5"/>
      <c r="D64" s="5"/>
      <c r="E64" s="5"/>
    </row>
    <row r="65" spans="1:29" hidden="1" x14ac:dyDescent="0.25">
      <c r="A65" t="s">
        <v>9</v>
      </c>
      <c r="C65" s="5" t="s">
        <v>18</v>
      </c>
      <c r="D65" s="5">
        <v>43.92</v>
      </c>
      <c r="E65" s="5">
        <v>39.36</v>
      </c>
      <c r="F65" s="5">
        <v>38.299999999999997</v>
      </c>
      <c r="G65" s="5">
        <v>35.200000000000003</v>
      </c>
      <c r="H65" s="5">
        <v>39.200000000000003</v>
      </c>
      <c r="I65" s="5">
        <v>41.16</v>
      </c>
      <c r="J65">
        <v>45.73</v>
      </c>
      <c r="M65" t="s">
        <v>14</v>
      </c>
    </row>
    <row r="66" spans="1:29" hidden="1" x14ac:dyDescent="0.25">
      <c r="A66" s="6" t="s">
        <v>12</v>
      </c>
      <c r="B66">
        <v>301</v>
      </c>
      <c r="C66" s="5" t="e">
        <f>$B66/#REF!</f>
        <v>#REF!</v>
      </c>
      <c r="D66" s="5" t="e">
        <f>$B66/#REF!</f>
        <v>#REF!</v>
      </c>
      <c r="E66" s="5" t="e">
        <f>$B66/#REF!</f>
        <v>#REF!</v>
      </c>
      <c r="F66" t="e">
        <f>$B66/#REF!</f>
        <v>#REF!</v>
      </c>
      <c r="G66">
        <v>44.62</v>
      </c>
      <c r="H66">
        <v>47.35</v>
      </c>
      <c r="I66">
        <v>48.11</v>
      </c>
      <c r="J66">
        <v>50.8</v>
      </c>
    </row>
    <row r="67" spans="1:29" hidden="1" x14ac:dyDescent="0.25">
      <c r="A67">
        <v>7</v>
      </c>
      <c r="B67">
        <v>413</v>
      </c>
      <c r="C67" s="5" t="e">
        <f>$B67/#REF!</f>
        <v>#REF!</v>
      </c>
      <c r="D67" s="5" t="e">
        <f>$B67/#REF!</f>
        <v>#REF!</v>
      </c>
      <c r="E67" s="5" t="e">
        <f>$B67/#REF!</f>
        <v>#REF!</v>
      </c>
      <c r="F67" t="e">
        <f>$B67/#REF!</f>
        <v>#REF!</v>
      </c>
      <c r="G67">
        <v>42.32</v>
      </c>
      <c r="H67">
        <v>45.52</v>
      </c>
      <c r="I67">
        <v>46.41</v>
      </c>
      <c r="J67">
        <v>49.58</v>
      </c>
    </row>
    <row r="68" spans="1:29" hidden="1" x14ac:dyDescent="0.25">
      <c r="A68">
        <v>8</v>
      </c>
      <c r="B68">
        <v>529</v>
      </c>
      <c r="C68" s="5" t="e">
        <f>$B68/#REF!</f>
        <v>#REF!</v>
      </c>
      <c r="D68" s="5" t="e">
        <f>$B68/#REF!</f>
        <v>#REF!</v>
      </c>
      <c r="E68" s="5" t="e">
        <f>$B68/#REF!</f>
        <v>#REF!</v>
      </c>
      <c r="F68" t="e">
        <f>$B68/#REF!</f>
        <v>#REF!</v>
      </c>
      <c r="G68">
        <v>40.25</v>
      </c>
      <c r="H68">
        <v>43.88</v>
      </c>
      <c r="I68">
        <v>44.88</v>
      </c>
      <c r="J68">
        <v>48.44</v>
      </c>
    </row>
    <row r="69" spans="1:29" hidden="1" x14ac:dyDescent="0.25">
      <c r="A69">
        <v>9</v>
      </c>
      <c r="B69">
        <v>647</v>
      </c>
      <c r="C69" s="5" t="e">
        <f>$B69/#REF!</f>
        <v>#REF!</v>
      </c>
      <c r="D69" s="5" t="e">
        <f>$B69/#REF!</f>
        <v>#REF!</v>
      </c>
      <c r="E69" s="5" t="e">
        <f>$B69/#REF!</f>
        <v>#REF!</v>
      </c>
      <c r="F69" t="e">
        <f>$B69/#REF!</f>
        <v>#REF!</v>
      </c>
      <c r="G69">
        <v>38.369999999999997</v>
      </c>
      <c r="H69">
        <v>42.37</v>
      </c>
      <c r="I69">
        <v>43.49</v>
      </c>
      <c r="J69">
        <v>47.43</v>
      </c>
    </row>
    <row r="70" spans="1:29" hidden="1" x14ac:dyDescent="0.25">
      <c r="A70">
        <v>10</v>
      </c>
      <c r="B70">
        <v>765</v>
      </c>
      <c r="C70" s="5" t="e">
        <f>$B70/#REF!</f>
        <v>#REF!</v>
      </c>
      <c r="D70" s="5" t="e">
        <f>$B70/#REF!</f>
        <v>#REF!</v>
      </c>
      <c r="E70" s="5" t="e">
        <f>$B70/#REF!</f>
        <v>#REF!</v>
      </c>
      <c r="F70" t="e">
        <f>$B70/#REF!</f>
        <v>#REF!</v>
      </c>
      <c r="G70">
        <v>36.65</v>
      </c>
      <c r="H70">
        <v>41</v>
      </c>
      <c r="I70">
        <v>42.23</v>
      </c>
      <c r="J70">
        <v>46.51</v>
      </c>
    </row>
    <row r="71" spans="1:29" hidden="1" x14ac:dyDescent="0.25">
      <c r="A71">
        <v>11</v>
      </c>
      <c r="B71">
        <v>888</v>
      </c>
      <c r="C71" s="5" t="e">
        <f>$B71/#REF!</f>
        <v>#REF!</v>
      </c>
      <c r="D71" s="5" t="e">
        <f>$B71/#REF!</f>
        <v>#REF!</v>
      </c>
      <c r="E71" s="5" t="e">
        <f>$B71/#REF!</f>
        <v>#REF!</v>
      </c>
      <c r="F71" t="e">
        <f>$B71/#REF!</f>
        <v>#REF!</v>
      </c>
      <c r="G71">
        <v>35</v>
      </c>
      <c r="H71">
        <v>39.68</v>
      </c>
      <c r="I71">
        <v>41</v>
      </c>
      <c r="J71">
        <v>45.63</v>
      </c>
    </row>
    <row r="72" spans="1:29" hidden="1" x14ac:dyDescent="0.25">
      <c r="C72" s="5"/>
      <c r="D72" s="5"/>
      <c r="E72" s="5"/>
    </row>
    <row r="73" spans="1:29" hidden="1" x14ac:dyDescent="0.25">
      <c r="C73" s="5"/>
      <c r="D73" s="5"/>
      <c r="E73" s="5"/>
    </row>
    <row r="74" spans="1:29" x14ac:dyDescent="0.25">
      <c r="C74" s="2" t="s">
        <v>0</v>
      </c>
      <c r="D74" s="2" t="s">
        <v>1</v>
      </c>
      <c r="E74" s="2" t="s">
        <v>2</v>
      </c>
      <c r="F74" s="2" t="s">
        <v>3</v>
      </c>
      <c r="G74" s="3" t="s">
        <v>4</v>
      </c>
      <c r="H74" s="3" t="s">
        <v>5</v>
      </c>
      <c r="I74" s="3" t="s">
        <v>6</v>
      </c>
      <c r="J74" s="3" t="s">
        <v>7</v>
      </c>
      <c r="K74" s="34"/>
      <c r="L74" s="28" t="s">
        <v>265</v>
      </c>
      <c r="M74" s="15" t="s">
        <v>243</v>
      </c>
      <c r="N74" s="15" t="s">
        <v>233</v>
      </c>
      <c r="O74" s="15" t="s">
        <v>232</v>
      </c>
      <c r="P74" s="15" t="s">
        <v>234</v>
      </c>
      <c r="Q74" s="15" t="s">
        <v>235</v>
      </c>
      <c r="R74" s="15" t="s">
        <v>236</v>
      </c>
      <c r="S74" s="15" t="s">
        <v>237</v>
      </c>
      <c r="T74" s="15" t="s">
        <v>238</v>
      </c>
      <c r="U74" s="15" t="s">
        <v>239</v>
      </c>
      <c r="V74" s="15" t="s">
        <v>240</v>
      </c>
      <c r="W74" s="15" t="s">
        <v>241</v>
      </c>
      <c r="X74" s="15" t="s">
        <v>242</v>
      </c>
      <c r="Y74" s="15"/>
      <c r="Z74" s="15"/>
      <c r="AA74" s="15"/>
      <c r="AB74" s="14"/>
      <c r="AC74" s="14"/>
    </row>
    <row r="75" spans="1:29" ht="14.4" x14ac:dyDescent="0.3">
      <c r="A75" t="s">
        <v>264</v>
      </c>
      <c r="C75" s="5"/>
      <c r="D75" s="5"/>
      <c r="E75" s="5"/>
      <c r="F75" s="5"/>
      <c r="G75" s="5"/>
      <c r="H75" s="5"/>
      <c r="I75" s="5"/>
      <c r="N75" s="13">
        <v>0.93540000000000001</v>
      </c>
      <c r="O75" s="13">
        <v>0.90539999999999998</v>
      </c>
      <c r="P75" s="13">
        <v>0.87539999999999996</v>
      </c>
      <c r="Q75" s="13">
        <v>0.84540000000000004</v>
      </c>
      <c r="R75" s="13">
        <v>0.81540000000000001</v>
      </c>
      <c r="S75" s="13">
        <v>0.78359999999999996</v>
      </c>
      <c r="T75" s="13">
        <v>0.746</v>
      </c>
      <c r="U75" s="13">
        <v>0.69840000000000002</v>
      </c>
      <c r="V75" s="13">
        <v>0.63629999999999998</v>
      </c>
      <c r="W75" s="13">
        <v>0.55479999999999996</v>
      </c>
      <c r="X75" s="13">
        <v>0.44850000000000001</v>
      </c>
      <c r="Y75" s="13"/>
      <c r="Z75" s="13"/>
    </row>
    <row r="76" spans="1:29" ht="6" customHeight="1" x14ac:dyDescent="0.3">
      <c r="C76" s="5"/>
      <c r="D76" s="5"/>
      <c r="E76" s="5"/>
      <c r="F76" s="5"/>
      <c r="G76" s="5"/>
      <c r="H76" s="5"/>
      <c r="I76" s="5"/>
      <c r="N76" s="13"/>
      <c r="O76" s="13"/>
      <c r="P76" s="13"/>
      <c r="Q76" s="13"/>
      <c r="R76" s="13"/>
      <c r="S76" s="13"/>
      <c r="T76" s="13"/>
      <c r="U76" s="13"/>
      <c r="V76" s="13"/>
      <c r="W76" s="13"/>
      <c r="X76" s="13"/>
      <c r="Y76" s="13"/>
      <c r="Z76" s="13"/>
    </row>
    <row r="77" spans="1:29" x14ac:dyDescent="0.25">
      <c r="A77" s="6" t="s">
        <v>12</v>
      </c>
      <c r="B77">
        <v>301</v>
      </c>
      <c r="C77" s="5" t="e">
        <f>$B77/#REF!</f>
        <v>#REF!</v>
      </c>
      <c r="D77" s="5" t="e">
        <f>$B77/#REF!</f>
        <v>#REF!</v>
      </c>
      <c r="E77" t="e">
        <f>$B77/#REF!</f>
        <v>#REF!</v>
      </c>
      <c r="F77" t="e">
        <f>$B77/#REF!</f>
        <v>#REF!</v>
      </c>
      <c r="G77" s="16">
        <v>7.2685185185185179E-4</v>
      </c>
      <c r="H77">
        <v>65.98</v>
      </c>
      <c r="I77">
        <v>66.92</v>
      </c>
      <c r="J77">
        <v>70.510000000000005</v>
      </c>
      <c r="L77" s="27">
        <v>1.3</v>
      </c>
      <c r="M77" s="16">
        <f>M$84*L77</f>
        <v>7.5231481481481492E-4</v>
      </c>
      <c r="N77" s="12">
        <f>$M77/N$114</f>
        <v>7.8694018286068511E-4</v>
      </c>
      <c r="O77" s="12">
        <f t="shared" ref="O77:X82" si="8">$M77/O$114</f>
        <v>8.1746692906097462E-4</v>
      </c>
      <c r="P77" s="12">
        <f t="shared" si="8"/>
        <v>8.5036149521285737E-4</v>
      </c>
      <c r="Q77" s="12">
        <f t="shared" si="8"/>
        <v>8.8611874536491744E-4</v>
      </c>
      <c r="R77" s="12">
        <f t="shared" si="8"/>
        <v>9.2501514178632103E-4</v>
      </c>
      <c r="S77" s="12">
        <f t="shared" si="8"/>
        <v>9.6748304374333197E-4</v>
      </c>
      <c r="T77" s="12">
        <f t="shared" si="8"/>
        <v>1.0139013676749528E-3</v>
      </c>
      <c r="U77" s="12">
        <f t="shared" si="8"/>
        <v>1.0865320837880053E-3</v>
      </c>
      <c r="V77" s="12">
        <f t="shared" si="8"/>
        <v>1.1977628002146393E-3</v>
      </c>
      <c r="W77" s="12">
        <f t="shared" si="8"/>
        <v>1.3733384717320464E-3</v>
      </c>
      <c r="X77" s="12">
        <f t="shared" si="8"/>
        <v>1.6725540569471208E-3</v>
      </c>
      <c r="Y77" s="12"/>
      <c r="Z77" s="12"/>
    </row>
    <row r="78" spans="1:29" x14ac:dyDescent="0.25">
      <c r="A78">
        <v>7</v>
      </c>
      <c r="B78">
        <v>413</v>
      </c>
      <c r="C78" s="5" t="e">
        <f>$B78/#REF!</f>
        <v>#REF!</v>
      </c>
      <c r="D78" s="5" t="e">
        <f>$B78/#REF!</f>
        <v>#REF!</v>
      </c>
      <c r="E78" t="e">
        <f>$B78/#REF!</f>
        <v>#REF!</v>
      </c>
      <c r="F78" t="e">
        <f>$B78/#REF!</f>
        <v>#REF!</v>
      </c>
      <c r="G78" s="16">
        <v>6.9074074074074079E-4</v>
      </c>
      <c r="H78">
        <v>63.41</v>
      </c>
      <c r="I78">
        <v>64.510000000000005</v>
      </c>
      <c r="J78">
        <v>68.72</v>
      </c>
      <c r="L78" s="27">
        <v>1.22</v>
      </c>
      <c r="M78" s="16">
        <f t="shared" ref="M78:M82" si="9">M$84*L78</f>
        <v>7.0601851851851858E-4</v>
      </c>
      <c r="N78" s="12">
        <f t="shared" ref="N78:N82" si="10">$M78/N$114</f>
        <v>7.3851309468464293E-4</v>
      </c>
      <c r="O78" s="12">
        <f t="shared" si="8"/>
        <v>7.6716127188799154E-4</v>
      </c>
      <c r="P78" s="12">
        <f t="shared" si="8"/>
        <v>7.9803155704591226E-4</v>
      </c>
      <c r="Q78" s="12">
        <f t="shared" si="8"/>
        <v>8.3158836103476867E-4</v>
      </c>
      <c r="R78" s="12">
        <f t="shared" si="8"/>
        <v>8.6809113306100891E-4</v>
      </c>
      <c r="S78" s="12">
        <f t="shared" si="8"/>
        <v>9.079456256668192E-4</v>
      </c>
      <c r="T78" s="12">
        <f t="shared" si="8"/>
        <v>9.515074373564941E-4</v>
      </c>
      <c r="U78" s="25">
        <f t="shared" si="8"/>
        <v>1.0196685709395127E-3</v>
      </c>
      <c r="V78" s="25">
        <f t="shared" si="8"/>
        <v>1.1240543202014307E-3</v>
      </c>
      <c r="W78" s="12">
        <f t="shared" si="8"/>
        <v>1.2888253350100741E-3</v>
      </c>
      <c r="X78" s="12">
        <f t="shared" si="8"/>
        <v>1.5696276534426826E-3</v>
      </c>
      <c r="Y78" s="12"/>
      <c r="Z78" s="12"/>
    </row>
    <row r="79" spans="1:29" x14ac:dyDescent="0.25">
      <c r="A79">
        <v>8</v>
      </c>
      <c r="B79">
        <v>529</v>
      </c>
      <c r="C79" s="5" t="e">
        <f>$B79/#REF!</f>
        <v>#REF!</v>
      </c>
      <c r="D79" s="5" t="e">
        <f>$B79/#REF!</f>
        <v>#REF!</v>
      </c>
      <c r="E79" t="e">
        <f>$B79/#REF!</f>
        <v>#REF!</v>
      </c>
      <c r="F79" t="e">
        <f>$B79/#REF!</f>
        <v>#REF!</v>
      </c>
      <c r="G79" s="16">
        <v>6.5821759259259262E-4</v>
      </c>
      <c r="H79">
        <v>61.09</v>
      </c>
      <c r="I79">
        <v>62.32</v>
      </c>
      <c r="J79">
        <v>67.12</v>
      </c>
      <c r="L79" s="27">
        <v>1.1499999999999999</v>
      </c>
      <c r="M79" s="16">
        <f t="shared" si="9"/>
        <v>6.6550925925925924E-4</v>
      </c>
      <c r="N79" s="12">
        <f t="shared" si="10"/>
        <v>6.9613939253060592E-4</v>
      </c>
      <c r="O79" s="12">
        <f t="shared" si="8"/>
        <v>7.2314382186163125E-4</v>
      </c>
      <c r="P79" s="12">
        <f t="shared" si="8"/>
        <v>7.5224286114983522E-4</v>
      </c>
      <c r="Q79" s="12">
        <f t="shared" si="8"/>
        <v>7.8387427474588842E-4</v>
      </c>
      <c r="R79" s="12">
        <f t="shared" si="8"/>
        <v>8.182826254263608E-4</v>
      </c>
      <c r="S79" s="12">
        <f t="shared" si="8"/>
        <v>8.5585038484987052E-4</v>
      </c>
      <c r="T79" s="12">
        <f t="shared" si="8"/>
        <v>8.9691274832784265E-4</v>
      </c>
      <c r="U79" s="12">
        <f t="shared" si="8"/>
        <v>9.6116299719708153E-4</v>
      </c>
      <c r="V79" s="12">
        <f t="shared" si="8"/>
        <v>1.0595594001898731E-3</v>
      </c>
      <c r="W79" s="12">
        <f t="shared" si="8"/>
        <v>1.2148763403783485E-3</v>
      </c>
      <c r="X79" s="12">
        <f t="shared" si="8"/>
        <v>1.479567050376299E-3</v>
      </c>
      <c r="Y79" s="12"/>
      <c r="Z79" s="12"/>
    </row>
    <row r="80" spans="1:29" x14ac:dyDescent="0.25">
      <c r="A80">
        <v>9</v>
      </c>
      <c r="B80">
        <v>647</v>
      </c>
      <c r="C80" s="5" t="e">
        <f>$B80/#REF!</f>
        <v>#REF!</v>
      </c>
      <c r="D80" s="5" t="e">
        <f>$B80/#REF!</f>
        <v>#REF!</v>
      </c>
      <c r="E80" t="e">
        <f>$B80/#REF!</f>
        <v>#REF!</v>
      </c>
      <c r="F80" t="e">
        <f>$B80/#REF!</f>
        <v>#REF!</v>
      </c>
      <c r="G80" s="16">
        <v>6.2870370370370369E-4</v>
      </c>
      <c r="H80">
        <v>58.99</v>
      </c>
      <c r="I80">
        <v>60.33</v>
      </c>
      <c r="J80">
        <v>65.92</v>
      </c>
      <c r="L80" s="27">
        <v>1.0900000000000001</v>
      </c>
      <c r="M80" s="16">
        <f t="shared" si="9"/>
        <v>6.3078703703703712E-4</v>
      </c>
      <c r="N80" s="12">
        <f t="shared" si="10"/>
        <v>6.5981907639857439E-4</v>
      </c>
      <c r="O80" s="12">
        <f t="shared" si="8"/>
        <v>6.8541457898189408E-4</v>
      </c>
      <c r="P80" s="12">
        <f t="shared" si="8"/>
        <v>7.1299540752462658E-4</v>
      </c>
      <c r="Q80" s="25">
        <f t="shared" si="8"/>
        <v>7.42976486498277E-4</v>
      </c>
      <c r="R80" s="12">
        <f t="shared" si="8"/>
        <v>7.7558961888237691E-4</v>
      </c>
      <c r="S80" s="25">
        <f t="shared" si="8"/>
        <v>8.1119732129248604E-4</v>
      </c>
      <c r="T80" s="12">
        <f t="shared" si="8"/>
        <v>8.5011730058899885E-4</v>
      </c>
      <c r="U80" s="12">
        <f t="shared" si="8"/>
        <v>9.1101536256071218E-4</v>
      </c>
      <c r="V80" s="12">
        <f t="shared" si="8"/>
        <v>1.0042780401799667E-3</v>
      </c>
      <c r="W80" s="12">
        <f t="shared" si="8"/>
        <v>1.1514914878368696E-3</v>
      </c>
      <c r="X80" s="12">
        <f t="shared" si="8"/>
        <v>1.4023722477479706E-3</v>
      </c>
      <c r="Y80" s="12"/>
      <c r="Z80" s="12"/>
    </row>
    <row r="81" spans="1:26" x14ac:dyDescent="0.25">
      <c r="A81">
        <v>10</v>
      </c>
      <c r="B81">
        <v>765</v>
      </c>
      <c r="C81" s="5" t="e">
        <f>$B81/#REF!</f>
        <v>#REF!</v>
      </c>
      <c r="D81" s="5" t="e">
        <f>$B81/#REF!</f>
        <v>#REF!</v>
      </c>
      <c r="E81" t="e">
        <f>$B81/#REF!</f>
        <v>#REF!</v>
      </c>
      <c r="F81" t="e">
        <f>$B81/#REF!</f>
        <v>#REF!</v>
      </c>
      <c r="G81" s="16">
        <v>6.0162037037037031E-4</v>
      </c>
      <c r="H81">
        <v>57.05</v>
      </c>
      <c r="I81">
        <v>58.55</v>
      </c>
      <c r="J81">
        <v>64.28</v>
      </c>
      <c r="L81" s="27">
        <v>1.04</v>
      </c>
      <c r="M81" s="16">
        <f t="shared" si="9"/>
        <v>6.01851851851852E-4</v>
      </c>
      <c r="N81" s="25">
        <f t="shared" si="10"/>
        <v>6.2955214628854814E-4</v>
      </c>
      <c r="O81" s="25">
        <f t="shared" si="8"/>
        <v>6.539735432487797E-4</v>
      </c>
      <c r="P81" s="25">
        <f t="shared" si="8"/>
        <v>6.802891961702859E-4</v>
      </c>
      <c r="Q81" s="12">
        <f t="shared" si="8"/>
        <v>7.088949962919341E-4</v>
      </c>
      <c r="R81" s="25">
        <f t="shared" si="8"/>
        <v>7.4001211342905691E-4</v>
      </c>
      <c r="S81" s="12">
        <f t="shared" si="8"/>
        <v>7.7398643499466567E-4</v>
      </c>
      <c r="T81" s="25">
        <f t="shared" si="8"/>
        <v>8.1112109413996225E-4</v>
      </c>
      <c r="U81" s="12">
        <f t="shared" si="8"/>
        <v>8.6922566703040438E-4</v>
      </c>
      <c r="V81" s="12">
        <f t="shared" si="8"/>
        <v>9.5821024017171154E-4</v>
      </c>
      <c r="W81" s="12">
        <f t="shared" si="8"/>
        <v>1.0986707773856371E-3</v>
      </c>
      <c r="X81" s="12">
        <f t="shared" si="8"/>
        <v>1.3380432455576969E-3</v>
      </c>
      <c r="Y81" s="12"/>
      <c r="Z81" s="12"/>
    </row>
    <row r="82" spans="1:26" x14ac:dyDescent="0.25">
      <c r="A82">
        <v>11</v>
      </c>
      <c r="B82">
        <v>888</v>
      </c>
      <c r="C82" s="5" t="e">
        <f>$B82/#REF!</f>
        <v>#REF!</v>
      </c>
      <c r="D82" s="5" t="e">
        <f>$B82/#REF!</f>
        <v>#REF!</v>
      </c>
      <c r="E82" t="e">
        <f>$B82/#REF!</f>
        <v>#REF!</v>
      </c>
      <c r="F82" t="e">
        <f>$B82/#REF!</f>
        <v>#REF!</v>
      </c>
      <c r="G82" s="16">
        <v>5.7546296296296295E-4</v>
      </c>
      <c r="H82">
        <v>55.22</v>
      </c>
      <c r="I82">
        <v>56.8</v>
      </c>
      <c r="J82">
        <v>62.98</v>
      </c>
      <c r="K82" s="39"/>
      <c r="L82" s="27">
        <v>1</v>
      </c>
      <c r="M82" s="24">
        <f t="shared" si="9"/>
        <v>5.7870370370370378E-4</v>
      </c>
      <c r="N82" s="12">
        <f t="shared" si="10"/>
        <v>6.0533860220052704E-4</v>
      </c>
      <c r="O82" s="12">
        <f t="shared" si="8"/>
        <v>6.288207146622881E-4</v>
      </c>
      <c r="P82" s="12">
        <f t="shared" si="8"/>
        <v>6.5412422708681329E-4</v>
      </c>
      <c r="Q82" s="12">
        <f t="shared" si="8"/>
        <v>6.8162980412685961E-4</v>
      </c>
      <c r="R82" s="12">
        <f t="shared" si="8"/>
        <v>7.115501090664008E-4</v>
      </c>
      <c r="S82" s="12">
        <f t="shared" si="8"/>
        <v>7.4421772595640917E-4</v>
      </c>
      <c r="T82" s="12">
        <f t="shared" si="8"/>
        <v>7.7992412898073287E-4</v>
      </c>
      <c r="U82" s="12">
        <f t="shared" si="8"/>
        <v>8.357939106061579E-4</v>
      </c>
      <c r="V82" s="12">
        <f t="shared" si="8"/>
        <v>9.213560001651071E-4</v>
      </c>
      <c r="W82" s="12">
        <f t="shared" si="8"/>
        <v>1.056414209024651E-3</v>
      </c>
      <c r="X82" s="12">
        <f t="shared" si="8"/>
        <v>1.2865800438054775E-3</v>
      </c>
      <c r="Y82" s="12"/>
      <c r="Z82" s="12"/>
    </row>
    <row r="83" spans="1:26" ht="6" customHeight="1" x14ac:dyDescent="0.25">
      <c r="C83" s="5"/>
      <c r="D83" s="5"/>
      <c r="M83" s="16"/>
      <c r="N83" s="12"/>
      <c r="O83" s="12"/>
      <c r="P83" s="12"/>
      <c r="Q83" s="12"/>
      <c r="R83" s="12"/>
      <c r="S83" s="12"/>
      <c r="T83" s="12"/>
      <c r="U83" s="12"/>
      <c r="V83" s="12"/>
      <c r="W83" s="12"/>
      <c r="X83" s="12"/>
      <c r="Y83" s="12"/>
      <c r="Z83" s="12"/>
    </row>
    <row r="84" spans="1:26" s="14" customFormat="1" x14ac:dyDescent="0.25">
      <c r="C84" s="32"/>
      <c r="D84" s="32"/>
      <c r="K84" s="40" t="s">
        <v>266</v>
      </c>
      <c r="L84" s="31"/>
      <c r="M84" s="18">
        <v>5.7870370370370378E-4</v>
      </c>
      <c r="N84" s="19">
        <v>6.4143518518518521E-4</v>
      </c>
      <c r="O84" s="19">
        <v>6.555555555555556E-4</v>
      </c>
      <c r="P84" s="19">
        <v>6.7268518518518513E-4</v>
      </c>
      <c r="Q84" s="19">
        <v>7.2743055555555571E-4</v>
      </c>
      <c r="R84" s="19">
        <v>7.3043981481481484E-4</v>
      </c>
      <c r="S84" s="18">
        <v>8.0312500000000002E-4</v>
      </c>
      <c r="T84" s="18">
        <v>8.2638888888888877E-4</v>
      </c>
      <c r="U84" s="18">
        <v>9.7835648148148152E-4</v>
      </c>
      <c r="V84" s="18">
        <v>1.1155092592592592E-3</v>
      </c>
    </row>
    <row r="85" spans="1:26" x14ac:dyDescent="0.25">
      <c r="C85" s="5"/>
      <c r="D85" s="5"/>
      <c r="K85" s="41" t="s">
        <v>244</v>
      </c>
      <c r="L85" s="30">
        <f>M85/M84</f>
        <v>0.86059999999999992</v>
      </c>
      <c r="M85" s="22">
        <v>4.9803240740740743E-4</v>
      </c>
      <c r="N85" s="23"/>
      <c r="O85" s="12"/>
      <c r="P85" s="12"/>
      <c r="Q85" s="12"/>
      <c r="R85" s="12"/>
      <c r="S85" s="16"/>
      <c r="T85" s="16"/>
      <c r="U85" s="16"/>
      <c r="V85" s="16"/>
    </row>
    <row r="86" spans="1:26" ht="6" customHeight="1" x14ac:dyDescent="0.25">
      <c r="C86" s="9"/>
      <c r="D86" s="9"/>
      <c r="E86" s="9"/>
      <c r="F86" s="9"/>
      <c r="G86" s="10"/>
      <c r="H86" s="10"/>
      <c r="I86" s="10"/>
    </row>
    <row r="87" spans="1:26" hidden="1" x14ac:dyDescent="0.25">
      <c r="A87" t="s">
        <v>20</v>
      </c>
      <c r="C87" s="5"/>
      <c r="D87" s="5"/>
      <c r="E87" s="5"/>
      <c r="F87" s="5"/>
      <c r="G87" s="5"/>
      <c r="H87" s="5"/>
      <c r="I87" s="5"/>
    </row>
    <row r="88" spans="1:26" hidden="1" x14ac:dyDescent="0.25">
      <c r="A88" t="s">
        <v>9</v>
      </c>
      <c r="C88" s="5" t="s">
        <v>21</v>
      </c>
      <c r="D88" s="7" t="s">
        <v>22</v>
      </c>
      <c r="E88" s="7" t="s">
        <v>23</v>
      </c>
      <c r="F88" s="7" t="s">
        <v>24</v>
      </c>
      <c r="G88" s="7">
        <v>59.04</v>
      </c>
      <c r="H88" s="7" t="s">
        <v>25</v>
      </c>
      <c r="I88" s="7">
        <v>67.5</v>
      </c>
      <c r="J88" s="6" t="s">
        <v>26</v>
      </c>
      <c r="K88" s="38"/>
    </row>
    <row r="89" spans="1:26" hidden="1" x14ac:dyDescent="0.25">
      <c r="A89" s="6" t="s">
        <v>12</v>
      </c>
      <c r="B89">
        <v>301</v>
      </c>
      <c r="C89" s="5" t="e">
        <f>$B89/#REF!</f>
        <v>#REF!</v>
      </c>
      <c r="D89" s="5" t="e">
        <f>$B89/#REF!</f>
        <v>#REF!</v>
      </c>
      <c r="E89" t="e">
        <f>$B89/#REF!</f>
        <v>#REF!</v>
      </c>
      <c r="F89" t="e">
        <f>$B89/#REF!</f>
        <v>#REF!</v>
      </c>
      <c r="G89" s="17">
        <v>5.6944444444444443E-2</v>
      </c>
      <c r="H89">
        <v>1.27</v>
      </c>
      <c r="I89">
        <v>1.27</v>
      </c>
      <c r="J89">
        <v>1.31</v>
      </c>
    </row>
    <row r="90" spans="1:26" hidden="1" x14ac:dyDescent="0.25">
      <c r="A90">
        <v>7</v>
      </c>
      <c r="B90">
        <v>413</v>
      </c>
      <c r="C90" s="5" t="e">
        <f>$B90/#REF!</f>
        <v>#REF!</v>
      </c>
      <c r="D90" s="5" t="e">
        <f>$B90/#REF!</f>
        <v>#REF!</v>
      </c>
      <c r="E90" t="e">
        <f>$B90/#REF!</f>
        <v>#REF!</v>
      </c>
      <c r="F90" t="e">
        <f>$B90/#REF!</f>
        <v>#REF!</v>
      </c>
      <c r="G90" s="17">
        <v>5.347222222222222E-2</v>
      </c>
      <c r="H90">
        <v>1.22</v>
      </c>
      <c r="I90">
        <v>1.22</v>
      </c>
      <c r="J90">
        <v>1.26</v>
      </c>
    </row>
    <row r="91" spans="1:26" hidden="1" x14ac:dyDescent="0.25">
      <c r="A91">
        <v>8</v>
      </c>
      <c r="B91">
        <v>529</v>
      </c>
      <c r="C91" s="5" t="e">
        <f>$B91/#REF!</f>
        <v>#REF!</v>
      </c>
      <c r="D91" s="5" t="e">
        <f>$B91/#REF!</f>
        <v>#REF!</v>
      </c>
      <c r="E91" t="e">
        <f>$B91/#REF!</f>
        <v>#REF!</v>
      </c>
      <c r="F91" t="e">
        <f>$B91/#REF!</f>
        <v>#REF!</v>
      </c>
      <c r="G91" s="17">
        <v>4.9305555555555554E-2</v>
      </c>
      <c r="H91">
        <v>1.18</v>
      </c>
      <c r="I91">
        <v>1.18</v>
      </c>
      <c r="J91">
        <v>1.22</v>
      </c>
    </row>
    <row r="92" spans="1:26" hidden="1" x14ac:dyDescent="0.25">
      <c r="A92">
        <v>9</v>
      </c>
      <c r="B92">
        <v>647</v>
      </c>
      <c r="C92" s="5" t="e">
        <f>$B92/#REF!</f>
        <v>#REF!</v>
      </c>
      <c r="D92" s="5" t="e">
        <f>$B92/#REF!</f>
        <v>#REF!</v>
      </c>
      <c r="E92" t="e">
        <f>$B92/#REF!</f>
        <v>#REF!</v>
      </c>
      <c r="F92" t="e">
        <f>$B92/#REF!</f>
        <v>#REF!</v>
      </c>
      <c r="G92" s="17">
        <v>4.6527777777777779E-2</v>
      </c>
      <c r="H92">
        <v>1.1400000000000001</v>
      </c>
      <c r="I92">
        <v>1.1400000000000001</v>
      </c>
      <c r="J92">
        <v>1.19</v>
      </c>
    </row>
    <row r="93" spans="1:26" hidden="1" x14ac:dyDescent="0.25">
      <c r="A93">
        <v>10</v>
      </c>
      <c r="B93">
        <v>765</v>
      </c>
      <c r="C93" s="5" t="e">
        <f>$B93/#REF!</f>
        <v>#REF!</v>
      </c>
      <c r="D93" s="5" t="e">
        <f>$B93/#REF!</f>
        <v>#REF!</v>
      </c>
      <c r="E93" t="e">
        <f>$B93/#REF!</f>
        <v>#REF!</v>
      </c>
      <c r="F93" t="e">
        <f>$B93/#REF!</f>
        <v>#REF!</v>
      </c>
      <c r="G93" s="17">
        <v>4.3055555555555562E-2</v>
      </c>
      <c r="H93">
        <v>1.1000000000000001</v>
      </c>
      <c r="I93">
        <v>1.1000000000000001</v>
      </c>
      <c r="J93">
        <v>1.1499999999999999</v>
      </c>
    </row>
    <row r="94" spans="1:26" hidden="1" x14ac:dyDescent="0.25">
      <c r="A94">
        <v>11</v>
      </c>
      <c r="B94">
        <v>888</v>
      </c>
      <c r="C94" s="5" t="e">
        <f>$B94/#REF!</f>
        <v>#REF!</v>
      </c>
      <c r="D94" s="5" t="e">
        <f>$B94/#REF!</f>
        <v>#REF!</v>
      </c>
      <c r="E94" t="e">
        <f>$B94/#REF!</f>
        <v>#REF!</v>
      </c>
      <c r="F94" t="e">
        <f>$B94/#REF!</f>
        <v>#REF!</v>
      </c>
      <c r="G94" s="6" t="s">
        <v>27</v>
      </c>
      <c r="H94">
        <v>1.07</v>
      </c>
      <c r="I94">
        <v>1.07</v>
      </c>
      <c r="J94">
        <v>1.1200000000000001</v>
      </c>
    </row>
    <row r="95" spans="1:26" hidden="1" x14ac:dyDescent="0.25">
      <c r="C95" s="5"/>
      <c r="D95" s="5"/>
    </row>
    <row r="96" spans="1:26" hidden="1" x14ac:dyDescent="0.25">
      <c r="A96" t="s">
        <v>28</v>
      </c>
      <c r="C96" s="5"/>
      <c r="D96" s="5"/>
      <c r="E96" s="5"/>
      <c r="F96" s="5"/>
      <c r="G96" s="5"/>
      <c r="H96" s="5"/>
      <c r="I96" s="5"/>
    </row>
    <row r="97" spans="1:11" hidden="1" x14ac:dyDescent="0.25">
      <c r="A97" t="s">
        <v>9</v>
      </c>
      <c r="C97" s="5" t="s">
        <v>21</v>
      </c>
      <c r="D97" s="7" t="s">
        <v>29</v>
      </c>
      <c r="E97" s="7" t="s">
        <v>30</v>
      </c>
      <c r="F97" s="7" t="s">
        <v>31</v>
      </c>
      <c r="G97" s="7" t="s">
        <v>32</v>
      </c>
      <c r="H97" s="7" t="s">
        <v>33</v>
      </c>
      <c r="I97" s="7" t="s">
        <v>34</v>
      </c>
      <c r="J97" s="6" t="s">
        <v>35</v>
      </c>
      <c r="K97" s="38"/>
    </row>
    <row r="98" spans="1:11" hidden="1" x14ac:dyDescent="0.25">
      <c r="A98" s="6" t="s">
        <v>12</v>
      </c>
      <c r="B98">
        <v>301</v>
      </c>
      <c r="C98" s="5" t="e">
        <f>$B98/#REF!</f>
        <v>#REF!</v>
      </c>
      <c r="D98" s="5" t="e">
        <f>$B98/#REF!</f>
        <v>#REF!</v>
      </c>
      <c r="E98" s="5" t="e">
        <f>$B98/#REF!</f>
        <v>#REF!</v>
      </c>
      <c r="F98" t="e">
        <f>$B98/#REF!</f>
        <v>#REF!</v>
      </c>
      <c r="G98" s="6" t="s">
        <v>36</v>
      </c>
      <c r="H98" s="6" t="s">
        <v>37</v>
      </c>
      <c r="I98" s="6" t="s">
        <v>38</v>
      </c>
      <c r="J98" s="6" t="s">
        <v>39</v>
      </c>
      <c r="K98" s="38"/>
    </row>
    <row r="99" spans="1:11" hidden="1" x14ac:dyDescent="0.25">
      <c r="A99">
        <v>7</v>
      </c>
      <c r="B99">
        <v>413</v>
      </c>
      <c r="C99" s="5" t="e">
        <f>$B99/#REF!</f>
        <v>#REF!</v>
      </c>
      <c r="D99" s="5" t="e">
        <f>$B99/#REF!</f>
        <v>#REF!</v>
      </c>
      <c r="E99" s="5" t="e">
        <f>$B99/#REF!</f>
        <v>#REF!</v>
      </c>
      <c r="F99" t="e">
        <f>$B99/#REF!</f>
        <v>#REF!</v>
      </c>
      <c r="G99" s="6" t="s">
        <v>40</v>
      </c>
      <c r="H99" s="6" t="s">
        <v>41</v>
      </c>
      <c r="I99" s="6" t="s">
        <v>42</v>
      </c>
      <c r="J99" s="6" t="s">
        <v>43</v>
      </c>
      <c r="K99" s="38"/>
    </row>
    <row r="100" spans="1:11" hidden="1" x14ac:dyDescent="0.25">
      <c r="A100">
        <v>8</v>
      </c>
      <c r="B100">
        <v>529</v>
      </c>
      <c r="C100" s="5" t="e">
        <f>$B100/#REF!</f>
        <v>#REF!</v>
      </c>
      <c r="D100" s="5" t="e">
        <f>$B100/#REF!</f>
        <v>#REF!</v>
      </c>
      <c r="E100" s="5" t="e">
        <f>$B100/#REF!</f>
        <v>#REF!</v>
      </c>
      <c r="F100" t="e">
        <f>$B100/#REF!</f>
        <v>#REF!</v>
      </c>
      <c r="G100" s="6" t="s">
        <v>44</v>
      </c>
      <c r="H100" s="6" t="s">
        <v>45</v>
      </c>
      <c r="I100" s="6" t="s">
        <v>46</v>
      </c>
      <c r="J100" s="6" t="s">
        <v>47</v>
      </c>
      <c r="K100" s="38"/>
    </row>
    <row r="101" spans="1:11" hidden="1" x14ac:dyDescent="0.25">
      <c r="A101">
        <v>9</v>
      </c>
      <c r="B101">
        <v>647</v>
      </c>
      <c r="C101" s="5" t="e">
        <f>$B101/#REF!</f>
        <v>#REF!</v>
      </c>
      <c r="D101" s="5" t="e">
        <f>$B101/#REF!</f>
        <v>#REF!</v>
      </c>
      <c r="E101" s="5" t="e">
        <f>$B101/#REF!</f>
        <v>#REF!</v>
      </c>
      <c r="F101" t="e">
        <f>$B101/#REF!</f>
        <v>#REF!</v>
      </c>
      <c r="G101" s="6" t="s">
        <v>48</v>
      </c>
      <c r="H101" s="6" t="s">
        <v>49</v>
      </c>
      <c r="I101" s="6" t="s">
        <v>50</v>
      </c>
      <c r="J101" s="6" t="s">
        <v>51</v>
      </c>
      <c r="K101" s="38"/>
    </row>
    <row r="102" spans="1:11" hidden="1" x14ac:dyDescent="0.25">
      <c r="A102">
        <v>10</v>
      </c>
      <c r="B102">
        <v>765</v>
      </c>
      <c r="C102" s="5" t="e">
        <f>$B102/#REF!</f>
        <v>#REF!</v>
      </c>
      <c r="D102" s="5" t="e">
        <f>$B102/#REF!</f>
        <v>#REF!</v>
      </c>
      <c r="E102" s="5" t="e">
        <f>$B102/#REF!</f>
        <v>#REF!</v>
      </c>
      <c r="F102" t="e">
        <f>$B102/#REF!</f>
        <v>#REF!</v>
      </c>
      <c r="G102" s="6" t="s">
        <v>52</v>
      </c>
      <c r="H102" s="6" t="s">
        <v>53</v>
      </c>
      <c r="I102" s="6" t="s">
        <v>54</v>
      </c>
      <c r="J102" s="6" t="s">
        <v>55</v>
      </c>
      <c r="K102" s="38"/>
    </row>
    <row r="103" spans="1:11" hidden="1" x14ac:dyDescent="0.25">
      <c r="A103">
        <v>11</v>
      </c>
      <c r="B103">
        <v>888</v>
      </c>
      <c r="C103" s="5" t="e">
        <f>$B103/#REF!</f>
        <v>#REF!</v>
      </c>
      <c r="D103" s="5" t="e">
        <f>$B103/#REF!</f>
        <v>#REF!</v>
      </c>
      <c r="E103" s="5" t="e">
        <f>$B103/#REF!</f>
        <v>#REF!</v>
      </c>
      <c r="F103" t="e">
        <f>$B103/#REF!</f>
        <v>#REF!</v>
      </c>
      <c r="G103" s="6" t="s">
        <v>56</v>
      </c>
      <c r="H103" s="6" t="s">
        <v>57</v>
      </c>
      <c r="I103" s="6" t="s">
        <v>58</v>
      </c>
      <c r="J103" s="6" t="s">
        <v>59</v>
      </c>
      <c r="K103" s="38"/>
    </row>
    <row r="104" spans="1:11" hidden="1" x14ac:dyDescent="0.25">
      <c r="C104" s="5"/>
      <c r="D104" s="5"/>
      <c r="E104" s="5"/>
      <c r="F104" s="5"/>
      <c r="G104" s="5"/>
      <c r="H104" s="5"/>
      <c r="I104" s="5"/>
    </row>
    <row r="105" spans="1:11" hidden="1" x14ac:dyDescent="0.25">
      <c r="A105" t="s">
        <v>60</v>
      </c>
      <c r="C105" s="5"/>
      <c r="D105" s="5"/>
      <c r="E105" s="5"/>
      <c r="F105" s="5"/>
      <c r="G105" s="5"/>
      <c r="H105" s="5"/>
      <c r="I105" s="5"/>
    </row>
    <row r="106" spans="1:11" hidden="1" x14ac:dyDescent="0.25">
      <c r="A106" t="s">
        <v>9</v>
      </c>
      <c r="C106" s="5" t="s">
        <v>21</v>
      </c>
      <c r="D106" s="7" t="s">
        <v>61</v>
      </c>
      <c r="E106" s="7" t="s">
        <v>62</v>
      </c>
      <c r="F106" s="7" t="s">
        <v>63</v>
      </c>
      <c r="G106" s="7" t="s">
        <v>59</v>
      </c>
      <c r="H106" s="7" t="s">
        <v>64</v>
      </c>
      <c r="I106" s="7" t="s">
        <v>64</v>
      </c>
      <c r="J106" s="6" t="s">
        <v>65</v>
      </c>
      <c r="K106" s="38"/>
    </row>
    <row r="107" spans="1:11" hidden="1" x14ac:dyDescent="0.25">
      <c r="A107" s="6" t="s">
        <v>12</v>
      </c>
      <c r="B107">
        <v>301</v>
      </c>
      <c r="C107" s="5" t="e">
        <f>$B107/#REF!</f>
        <v>#REF!</v>
      </c>
      <c r="D107" s="5" t="e">
        <f>$B107/#REF!</f>
        <v>#REF!</v>
      </c>
      <c r="E107" s="5" t="e">
        <f>$B107/#REF!</f>
        <v>#REF!</v>
      </c>
      <c r="F107" t="e">
        <f>$B107/#REF!</f>
        <v>#REF!</v>
      </c>
      <c r="G107">
        <v>2.17</v>
      </c>
      <c r="H107">
        <v>2.25</v>
      </c>
      <c r="I107">
        <v>2.25</v>
      </c>
      <c r="J107">
        <v>2.2599999999999998</v>
      </c>
    </row>
    <row r="108" spans="1:11" hidden="1" x14ac:dyDescent="0.25">
      <c r="A108">
        <v>7</v>
      </c>
      <c r="B108">
        <v>413</v>
      </c>
      <c r="C108" s="5" t="e">
        <f>$B108/#REF!</f>
        <v>#REF!</v>
      </c>
      <c r="D108" s="5" t="e">
        <f>$B108/#REF!</f>
        <v>#REF!</v>
      </c>
      <c r="E108" s="5" t="e">
        <f>$B108/#REF!</f>
        <v>#REF!</v>
      </c>
      <c r="F108" t="e">
        <f>$B108/#REF!</f>
        <v>#REF!</v>
      </c>
      <c r="G108">
        <v>2.09</v>
      </c>
      <c r="H108">
        <v>2.1800000000000002</v>
      </c>
      <c r="I108">
        <v>2.1800000000000002</v>
      </c>
      <c r="J108">
        <v>2.19</v>
      </c>
    </row>
    <row r="109" spans="1:11" hidden="1" x14ac:dyDescent="0.25">
      <c r="A109">
        <v>8</v>
      </c>
      <c r="B109">
        <v>529</v>
      </c>
      <c r="C109" s="5" t="e">
        <f>$B109/#REF!</f>
        <v>#REF!</v>
      </c>
      <c r="D109" s="5" t="e">
        <f>$B109/#REF!</f>
        <v>#REF!</v>
      </c>
      <c r="E109" s="5" t="e">
        <f>$B109/#REF!</f>
        <v>#REF!</v>
      </c>
      <c r="F109" t="e">
        <f>$B109/#REF!</f>
        <v>#REF!</v>
      </c>
      <c r="G109">
        <v>2.02</v>
      </c>
      <c r="H109">
        <v>2.12</v>
      </c>
      <c r="I109">
        <v>2.12</v>
      </c>
      <c r="J109">
        <v>2.14</v>
      </c>
    </row>
    <row r="110" spans="1:11" hidden="1" x14ac:dyDescent="0.25">
      <c r="A110">
        <v>9</v>
      </c>
      <c r="B110">
        <v>647</v>
      </c>
      <c r="C110" s="5" t="e">
        <f>$B110/#REF!</f>
        <v>#REF!</v>
      </c>
      <c r="D110" s="5" t="e">
        <f>$B110/#REF!</f>
        <v>#REF!</v>
      </c>
      <c r="E110" s="5" t="e">
        <f>$B110/#REF!</f>
        <v>#REF!</v>
      </c>
      <c r="F110" t="e">
        <f>$B110/#REF!</f>
        <v>#REF!</v>
      </c>
      <c r="G110">
        <v>1.55</v>
      </c>
      <c r="H110">
        <v>2.0699999999999998</v>
      </c>
      <c r="I110">
        <v>2.0699999999999998</v>
      </c>
      <c r="J110">
        <v>2.08</v>
      </c>
    </row>
    <row r="111" spans="1:11" hidden="1" x14ac:dyDescent="0.25">
      <c r="A111">
        <v>10</v>
      </c>
      <c r="B111">
        <v>765</v>
      </c>
      <c r="C111" s="5" t="e">
        <f>$B111/#REF!</f>
        <v>#REF!</v>
      </c>
      <c r="D111" s="5" t="e">
        <f>$B111/#REF!</f>
        <v>#REF!</v>
      </c>
      <c r="E111" s="5" t="e">
        <f>$B111/#REF!</f>
        <v>#REF!</v>
      </c>
      <c r="F111" t="e">
        <f>$B111/#REF!</f>
        <v>#REF!</v>
      </c>
      <c r="G111">
        <v>1.49</v>
      </c>
      <c r="H111">
        <v>2.02</v>
      </c>
      <c r="I111">
        <v>2.02</v>
      </c>
      <c r="J111">
        <v>2.04</v>
      </c>
    </row>
    <row r="112" spans="1:11" hidden="1" x14ac:dyDescent="0.25">
      <c r="A112">
        <v>11</v>
      </c>
      <c r="B112">
        <v>888</v>
      </c>
      <c r="C112" s="5" t="e">
        <f>$B112/#REF!</f>
        <v>#REF!</v>
      </c>
      <c r="D112" s="5" t="e">
        <f>$B112/#REF!</f>
        <v>#REF!</v>
      </c>
      <c r="E112" s="5" t="e">
        <f>$B112/#REF!</f>
        <v>#REF!</v>
      </c>
      <c r="F112" t="e">
        <f>$B112/#REF!</f>
        <v>#REF!</v>
      </c>
      <c r="G112">
        <v>1.43</v>
      </c>
      <c r="H112">
        <v>1.57</v>
      </c>
      <c r="I112">
        <v>1.57</v>
      </c>
      <c r="J112">
        <v>1.59</v>
      </c>
    </row>
    <row r="113" spans="1:27" s="14" customFormat="1" x14ac:dyDescent="0.25">
      <c r="C113" s="9"/>
      <c r="D113" s="9"/>
      <c r="E113" s="9"/>
      <c r="F113" s="9"/>
      <c r="G113" s="3" t="s">
        <v>4</v>
      </c>
      <c r="H113" s="3" t="s">
        <v>5</v>
      </c>
      <c r="I113" s="3" t="s">
        <v>6</v>
      </c>
      <c r="J113" s="3" t="s">
        <v>7</v>
      </c>
      <c r="K113" s="35"/>
      <c r="L113" s="28" t="s">
        <v>265</v>
      </c>
      <c r="M113" s="15" t="s">
        <v>243</v>
      </c>
      <c r="N113" s="15" t="s">
        <v>233</v>
      </c>
      <c r="O113" s="15" t="s">
        <v>232</v>
      </c>
      <c r="P113" s="15" t="s">
        <v>234</v>
      </c>
      <c r="Q113" s="15" t="s">
        <v>235</v>
      </c>
      <c r="R113" s="15" t="s">
        <v>236</v>
      </c>
      <c r="S113" s="15" t="s">
        <v>237</v>
      </c>
      <c r="T113" s="15" t="s">
        <v>238</v>
      </c>
      <c r="U113" s="15" t="s">
        <v>239</v>
      </c>
      <c r="V113" s="15" t="s">
        <v>240</v>
      </c>
      <c r="W113" s="15" t="s">
        <v>241</v>
      </c>
      <c r="X113" s="15" t="s">
        <v>242</v>
      </c>
      <c r="Y113" s="15"/>
      <c r="Z113" s="15"/>
      <c r="AA113" s="15"/>
    </row>
    <row r="114" spans="1:27" ht="14.4" x14ac:dyDescent="0.3">
      <c r="A114" t="s">
        <v>263</v>
      </c>
      <c r="C114" s="5"/>
      <c r="D114" s="5"/>
      <c r="E114" s="5"/>
      <c r="F114" s="5"/>
      <c r="G114" s="7"/>
      <c r="H114" s="7"/>
      <c r="I114" s="7"/>
      <c r="J114" s="6"/>
      <c r="K114" s="38"/>
      <c r="N114" s="13">
        <v>0.95599999999999996</v>
      </c>
      <c r="O114" s="13">
        <v>0.92030000000000001</v>
      </c>
      <c r="P114" s="13">
        <v>0.88470000000000004</v>
      </c>
      <c r="Q114" s="13">
        <v>0.84899999999999998</v>
      </c>
      <c r="R114" s="13">
        <v>0.81330000000000002</v>
      </c>
      <c r="S114" s="13">
        <v>0.77759999999999996</v>
      </c>
      <c r="T114" s="13">
        <v>0.74199999999999999</v>
      </c>
      <c r="U114" s="13">
        <v>0.69240000000000002</v>
      </c>
      <c r="V114" s="13">
        <v>0.62809999999999999</v>
      </c>
      <c r="W114" s="13">
        <v>0.54779999999999995</v>
      </c>
      <c r="X114" s="13">
        <v>0.44979999999999998</v>
      </c>
      <c r="Y114" s="13"/>
      <c r="Z114" s="13"/>
    </row>
    <row r="115" spans="1:27" ht="6" customHeight="1" x14ac:dyDescent="0.3">
      <c r="C115" s="5"/>
      <c r="D115" s="5"/>
      <c r="E115" s="5"/>
      <c r="F115" s="5"/>
      <c r="G115" s="7"/>
      <c r="H115" s="7"/>
      <c r="I115" s="5"/>
      <c r="J115" s="6"/>
      <c r="K115" s="38"/>
      <c r="N115" s="13"/>
      <c r="O115" s="13"/>
      <c r="P115" s="13"/>
      <c r="Q115" s="13"/>
      <c r="R115" s="13"/>
      <c r="S115" s="13"/>
      <c r="T115" s="13"/>
      <c r="U115" s="13"/>
      <c r="V115" s="13"/>
      <c r="W115" s="13"/>
      <c r="X115" s="13"/>
      <c r="Y115" s="13"/>
      <c r="Z115" s="13"/>
    </row>
    <row r="116" spans="1:27" x14ac:dyDescent="0.25">
      <c r="A116" s="6" t="s">
        <v>12</v>
      </c>
      <c r="B116">
        <v>301</v>
      </c>
      <c r="C116" s="5" t="e">
        <f>$B116/#REF!</f>
        <v>#REF!</v>
      </c>
      <c r="D116" s="5" t="e">
        <f>$B116/#REF!</f>
        <v>#REF!</v>
      </c>
      <c r="E116" t="e">
        <f>$B116/#REF!</f>
        <v>#REF!</v>
      </c>
      <c r="F116" t="e">
        <f>$B116/#REF!</f>
        <v>#REF!</v>
      </c>
      <c r="G116" s="12">
        <v>1.6685185185185186E-3</v>
      </c>
      <c r="H116" s="6" t="s">
        <v>66</v>
      </c>
      <c r="I116" s="6" t="s">
        <v>67</v>
      </c>
      <c r="J116" s="6" t="s">
        <v>68</v>
      </c>
      <c r="K116" s="38"/>
      <c r="L116" s="27">
        <v>1.3</v>
      </c>
      <c r="M116" s="16">
        <f>M$123*L116</f>
        <v>1.7468750000000002E-3</v>
      </c>
      <c r="N116" s="12">
        <f>$M116/N$114</f>
        <v>1.8272751046025106E-3</v>
      </c>
      <c r="O116" s="12">
        <f t="shared" ref="O116:X121" si="11">$M116/O$114</f>
        <v>1.8981582092795829E-3</v>
      </c>
      <c r="P116" s="12">
        <f t="shared" si="11"/>
        <v>1.9745393918842546E-3</v>
      </c>
      <c r="Q116" s="12">
        <f t="shared" si="11"/>
        <v>2.0575677267373384E-3</v>
      </c>
      <c r="R116" s="12">
        <f t="shared" si="11"/>
        <v>2.1478851592278375E-3</v>
      </c>
      <c r="S116" s="12">
        <f t="shared" si="11"/>
        <v>2.2464956275720168E-3</v>
      </c>
      <c r="T116" s="12">
        <f t="shared" si="11"/>
        <v>2.35427897574124E-3</v>
      </c>
      <c r="U116" s="12">
        <f t="shared" si="11"/>
        <v>2.5229274985557482E-3</v>
      </c>
      <c r="V116" s="12">
        <f t="shared" si="11"/>
        <v>2.7812052220983923E-3</v>
      </c>
      <c r="W116" s="12">
        <f t="shared" si="11"/>
        <v>3.1888919313618116E-3</v>
      </c>
      <c r="X116" s="12">
        <f t="shared" si="11"/>
        <v>3.8836705202312145E-3</v>
      </c>
      <c r="Y116" s="12"/>
      <c r="Z116" s="12"/>
    </row>
    <row r="117" spans="1:27" x14ac:dyDescent="0.25">
      <c r="A117">
        <v>7</v>
      </c>
      <c r="B117">
        <v>413</v>
      </c>
      <c r="C117" s="5" t="e">
        <f>$B117/#REF!</f>
        <v>#REF!</v>
      </c>
      <c r="D117" s="5" t="e">
        <f>$B117/#REF!</f>
        <v>#REF!</v>
      </c>
      <c r="E117" t="e">
        <f>$B117/#REF!</f>
        <v>#REF!</v>
      </c>
      <c r="F117" t="e">
        <f>$B117/#REF!</f>
        <v>#REF!</v>
      </c>
      <c r="G117" s="12">
        <v>1.5894675925925926E-3</v>
      </c>
      <c r="H117" s="6" t="s">
        <v>69</v>
      </c>
      <c r="I117" s="6" t="s">
        <v>70</v>
      </c>
      <c r="J117" s="6" t="s">
        <v>71</v>
      </c>
      <c r="K117" s="38"/>
      <c r="L117" s="27">
        <v>1.22</v>
      </c>
      <c r="M117" s="16">
        <f t="shared" ref="M117:M121" si="12">M$123*L117</f>
        <v>1.639375E-3</v>
      </c>
      <c r="N117" s="12">
        <f t="shared" ref="N117:N121" si="13">$M117/N$114</f>
        <v>1.7148274058577406E-3</v>
      </c>
      <c r="O117" s="12">
        <f t="shared" si="11"/>
        <v>1.7813484733239162E-3</v>
      </c>
      <c r="P117" s="12">
        <f t="shared" si="11"/>
        <v>1.8530292754606081E-3</v>
      </c>
      <c r="Q117" s="12">
        <f t="shared" si="11"/>
        <v>1.9309481743227327E-3</v>
      </c>
      <c r="R117" s="12">
        <f t="shared" si="11"/>
        <v>2.0157076109676626E-3</v>
      </c>
      <c r="S117" s="12">
        <f t="shared" si="11"/>
        <v>2.108249742798354E-3</v>
      </c>
      <c r="T117" s="12">
        <f t="shared" si="11"/>
        <v>2.2094002695417789E-3</v>
      </c>
      <c r="U117" s="12">
        <f t="shared" si="11"/>
        <v>2.367670421721548E-3</v>
      </c>
      <c r="V117" s="12">
        <f t="shared" si="11"/>
        <v>2.6100541315077219E-3</v>
      </c>
      <c r="W117" s="12">
        <f t="shared" si="11"/>
        <v>2.9926524278933919E-3</v>
      </c>
      <c r="X117" s="12">
        <f t="shared" si="11"/>
        <v>3.6446754112939087E-3</v>
      </c>
      <c r="Y117" s="12"/>
      <c r="Z117" s="12"/>
    </row>
    <row r="118" spans="1:27" x14ac:dyDescent="0.25">
      <c r="A118">
        <v>8</v>
      </c>
      <c r="B118">
        <v>529</v>
      </c>
      <c r="C118" s="5" t="e">
        <f>$B118/#REF!</f>
        <v>#REF!</v>
      </c>
      <c r="D118" s="5" t="e">
        <f>$B118/#REF!</f>
        <v>#REF!</v>
      </c>
      <c r="E118" t="e">
        <f>$B118/#REF!</f>
        <v>#REF!</v>
      </c>
      <c r="F118" t="e">
        <f>$B118/#REF!</f>
        <v>#REF!</v>
      </c>
      <c r="G118" s="12">
        <v>1.5181712962962963E-3</v>
      </c>
      <c r="H118" s="6" t="s">
        <v>72</v>
      </c>
      <c r="I118" s="6" t="s">
        <v>73</v>
      </c>
      <c r="J118" s="6" t="s">
        <v>74</v>
      </c>
      <c r="K118" s="38"/>
      <c r="L118" s="27">
        <v>1.1499999999999999</v>
      </c>
      <c r="M118" s="16">
        <f t="shared" si="12"/>
        <v>1.5453125E-3</v>
      </c>
      <c r="N118" s="12">
        <f t="shared" si="13"/>
        <v>1.616435669456067E-3</v>
      </c>
      <c r="O118" s="12">
        <f t="shared" si="11"/>
        <v>1.6791399543627079E-3</v>
      </c>
      <c r="P118" s="12">
        <f t="shared" si="11"/>
        <v>1.7467079235899173E-3</v>
      </c>
      <c r="Q118" s="12">
        <f t="shared" si="11"/>
        <v>1.8201560659599531E-3</v>
      </c>
      <c r="R118" s="12">
        <f t="shared" si="11"/>
        <v>1.9000522562400098E-3</v>
      </c>
      <c r="S118" s="12">
        <f t="shared" si="11"/>
        <v>1.9872845936213992E-3</v>
      </c>
      <c r="T118" s="12">
        <f t="shared" si="11"/>
        <v>2.0826314016172509E-3</v>
      </c>
      <c r="U118" s="25">
        <f t="shared" si="11"/>
        <v>2.2318204794916233E-3</v>
      </c>
      <c r="V118" s="12">
        <f t="shared" si="11"/>
        <v>2.4602969272408855E-3</v>
      </c>
      <c r="W118" s="12">
        <f t="shared" si="11"/>
        <v>2.8209428623585252E-3</v>
      </c>
      <c r="X118" s="12">
        <f t="shared" si="11"/>
        <v>3.4355546909737664E-3</v>
      </c>
      <c r="Y118" s="12"/>
      <c r="Z118" s="12"/>
    </row>
    <row r="119" spans="1:27" x14ac:dyDescent="0.25">
      <c r="A119">
        <v>9</v>
      </c>
      <c r="B119">
        <v>647</v>
      </c>
      <c r="C119" s="5" t="e">
        <f>$B119/#REF!</f>
        <v>#REF!</v>
      </c>
      <c r="D119" s="5" t="e">
        <f>$B119/#REF!</f>
        <v>#REF!</v>
      </c>
      <c r="E119" t="e">
        <f>$B119/#REF!</f>
        <v>#REF!</v>
      </c>
      <c r="F119" t="e">
        <f>$B119/#REF!</f>
        <v>#REF!</v>
      </c>
      <c r="G119" s="12">
        <v>1.4533564814814817E-3</v>
      </c>
      <c r="H119" s="6" t="s">
        <v>75</v>
      </c>
      <c r="I119" s="6" t="s">
        <v>76</v>
      </c>
      <c r="J119" s="6" t="s">
        <v>77</v>
      </c>
      <c r="K119" s="38"/>
      <c r="L119" s="27">
        <v>1.0900000000000001</v>
      </c>
      <c r="M119" s="16">
        <f t="shared" si="12"/>
        <v>1.4646875000000003E-3</v>
      </c>
      <c r="N119" s="12">
        <f t="shared" si="13"/>
        <v>1.53209989539749E-3</v>
      </c>
      <c r="O119" s="12">
        <f t="shared" si="11"/>
        <v>1.5915326523959581E-3</v>
      </c>
      <c r="P119" s="12">
        <f t="shared" si="11"/>
        <v>1.6555753362721829E-3</v>
      </c>
      <c r="Q119" s="12">
        <f t="shared" si="11"/>
        <v>1.7251914016489993E-3</v>
      </c>
      <c r="R119" s="12">
        <f t="shared" si="11"/>
        <v>1.8009190950448791E-3</v>
      </c>
      <c r="S119" s="12">
        <f t="shared" si="11"/>
        <v>1.8836001800411528E-3</v>
      </c>
      <c r="T119" s="25">
        <f t="shared" si="11"/>
        <v>1.9739723719676555E-3</v>
      </c>
      <c r="U119" s="12">
        <f t="shared" si="11"/>
        <v>2.1153776718659738E-3</v>
      </c>
      <c r="V119" s="12">
        <f t="shared" si="11"/>
        <v>2.331933609297883E-3</v>
      </c>
      <c r="W119" s="12">
        <f t="shared" si="11"/>
        <v>2.6737632347572115E-3</v>
      </c>
      <c r="X119" s="12">
        <f t="shared" si="11"/>
        <v>3.2563083592707879E-3</v>
      </c>
      <c r="Y119" s="12"/>
      <c r="Z119" s="12"/>
    </row>
    <row r="120" spans="1:27" x14ac:dyDescent="0.25">
      <c r="A120">
        <v>10</v>
      </c>
      <c r="B120">
        <v>765</v>
      </c>
      <c r="C120" s="5" t="e">
        <f>$B120/#REF!</f>
        <v>#REF!</v>
      </c>
      <c r="D120" s="5" t="e">
        <f>$B120/#REF!</f>
        <v>#REF!</v>
      </c>
      <c r="E120" t="e">
        <f>$B120/#REF!</f>
        <v>#REF!</v>
      </c>
      <c r="F120" t="e">
        <f>$B120/#REF!</f>
        <v>#REF!</v>
      </c>
      <c r="G120" s="12">
        <v>1.3942129629629632E-3</v>
      </c>
      <c r="H120" s="6" t="s">
        <v>78</v>
      </c>
      <c r="I120" s="6" t="s">
        <v>79</v>
      </c>
      <c r="J120" s="6" t="s">
        <v>80</v>
      </c>
      <c r="K120" s="38"/>
      <c r="L120" s="27">
        <v>1.04</v>
      </c>
      <c r="M120" s="16">
        <f t="shared" si="12"/>
        <v>1.3975000000000001E-3</v>
      </c>
      <c r="N120" s="25">
        <f t="shared" si="13"/>
        <v>1.4618200836820085E-3</v>
      </c>
      <c r="O120" s="25">
        <f t="shared" si="11"/>
        <v>1.5185265674236663E-3</v>
      </c>
      <c r="P120" s="12">
        <f t="shared" si="11"/>
        <v>1.5796315135074037E-3</v>
      </c>
      <c r="Q120" s="12">
        <f t="shared" si="11"/>
        <v>1.6460541813898707E-3</v>
      </c>
      <c r="R120" s="25">
        <f t="shared" si="11"/>
        <v>1.7183081273822699E-3</v>
      </c>
      <c r="S120" s="25">
        <f t="shared" si="11"/>
        <v>1.7971965020576134E-3</v>
      </c>
      <c r="T120" s="12">
        <f t="shared" si="11"/>
        <v>1.8834231805929921E-3</v>
      </c>
      <c r="U120" s="12">
        <f t="shared" si="11"/>
        <v>2.0183419988445985E-3</v>
      </c>
      <c r="V120" s="12">
        <f t="shared" si="11"/>
        <v>2.2249641776787136E-3</v>
      </c>
      <c r="W120" s="12">
        <f t="shared" si="11"/>
        <v>2.5511135450894491E-3</v>
      </c>
      <c r="X120" s="12">
        <f t="shared" si="11"/>
        <v>3.1069364161849713E-3</v>
      </c>
      <c r="Y120" s="12"/>
      <c r="Z120" s="12"/>
    </row>
    <row r="121" spans="1:27" x14ac:dyDescent="0.25">
      <c r="A121">
        <v>11</v>
      </c>
      <c r="B121">
        <v>888</v>
      </c>
      <c r="C121" s="5" t="e">
        <f>$B121/#REF!</f>
        <v>#REF!</v>
      </c>
      <c r="D121" s="5" t="e">
        <f>$B121/#REF!</f>
        <v>#REF!</v>
      </c>
      <c r="E121" t="e">
        <f>$B121/#REF!</f>
        <v>#REF!</v>
      </c>
      <c r="F121" t="e">
        <f>$B121/#REF!</f>
        <v>#REF!</v>
      </c>
      <c r="G121" s="12">
        <v>1.3372685185185187E-3</v>
      </c>
      <c r="H121" s="6" t="s">
        <v>81</v>
      </c>
      <c r="I121" s="6" t="s">
        <v>82</v>
      </c>
      <c r="J121" s="6" t="s">
        <v>83</v>
      </c>
      <c r="K121" s="38"/>
      <c r="L121" s="27">
        <v>1</v>
      </c>
      <c r="M121" s="24">
        <f t="shared" si="12"/>
        <v>1.3437500000000001E-3</v>
      </c>
      <c r="N121" s="12">
        <f t="shared" si="13"/>
        <v>1.4055962343096236E-3</v>
      </c>
      <c r="O121" s="12">
        <f t="shared" si="11"/>
        <v>1.4601216994458331E-3</v>
      </c>
      <c r="P121" s="25">
        <f t="shared" si="11"/>
        <v>1.5188764552955805E-3</v>
      </c>
      <c r="Q121" s="25">
        <f t="shared" si="11"/>
        <v>1.5827444051825679E-3</v>
      </c>
      <c r="R121" s="12">
        <f t="shared" si="11"/>
        <v>1.6522193532521826E-3</v>
      </c>
      <c r="S121" s="12">
        <f t="shared" si="11"/>
        <v>1.7280735596707821E-3</v>
      </c>
      <c r="T121" s="12">
        <f t="shared" si="11"/>
        <v>1.8109838274932616E-3</v>
      </c>
      <c r="U121" s="12">
        <f t="shared" si="11"/>
        <v>1.9407134604274986E-3</v>
      </c>
      <c r="V121" s="12">
        <f t="shared" si="11"/>
        <v>2.1393886323833786E-3</v>
      </c>
      <c r="W121" s="12">
        <f t="shared" si="11"/>
        <v>2.4529937933552397E-3</v>
      </c>
      <c r="X121" s="12">
        <f t="shared" si="11"/>
        <v>2.9874388617163188E-3</v>
      </c>
      <c r="Y121" s="12"/>
      <c r="Z121" s="12"/>
    </row>
    <row r="122" spans="1:27" ht="6" customHeight="1" x14ac:dyDescent="0.25">
      <c r="C122" s="5"/>
      <c r="D122" s="5"/>
      <c r="G122" s="12"/>
      <c r="H122" s="6"/>
      <c r="I122" s="6"/>
      <c r="J122" s="6"/>
      <c r="K122" s="38"/>
      <c r="N122" s="12"/>
      <c r="O122" s="12"/>
      <c r="P122" s="12"/>
      <c r="Q122" s="12"/>
      <c r="R122" s="12"/>
      <c r="S122" s="12"/>
      <c r="T122" s="12"/>
      <c r="U122" s="12"/>
      <c r="V122" s="12"/>
      <c r="W122" s="12"/>
      <c r="X122" s="12"/>
      <c r="Y122" s="12"/>
      <c r="Z122" s="12"/>
    </row>
    <row r="123" spans="1:27" s="14" customFormat="1" x14ac:dyDescent="0.25">
      <c r="C123" s="32"/>
      <c r="D123" s="32"/>
      <c r="G123" s="19"/>
      <c r="H123" s="15"/>
      <c r="I123" s="15"/>
      <c r="J123" s="15"/>
      <c r="K123" s="40" t="s">
        <v>266</v>
      </c>
      <c r="L123" s="31"/>
      <c r="M123" s="18">
        <v>1.3437500000000001E-3</v>
      </c>
      <c r="N123" s="19">
        <v>1.4641203703703706E-3</v>
      </c>
      <c r="O123" s="18">
        <v>1.500462962962963E-3</v>
      </c>
      <c r="P123" s="19">
        <v>1.500462962962963E-3</v>
      </c>
      <c r="Q123" s="19">
        <v>1.6001157407407407E-3</v>
      </c>
      <c r="R123" s="19">
        <v>1.7268518518518518E-3</v>
      </c>
      <c r="S123" s="19">
        <v>1.7809027777777777E-3</v>
      </c>
      <c r="T123" s="19">
        <v>2E-3</v>
      </c>
      <c r="U123" s="19">
        <v>2.2474537037037038E-3</v>
      </c>
      <c r="V123" s="19">
        <v>3.0184027777777778E-3</v>
      </c>
      <c r="W123" s="19"/>
      <c r="X123" s="19"/>
      <c r="Y123" s="19"/>
      <c r="Z123" s="19"/>
    </row>
    <row r="124" spans="1:27" x14ac:dyDescent="0.25">
      <c r="C124" s="5"/>
      <c r="D124" s="5"/>
      <c r="G124" s="12"/>
      <c r="H124" s="6"/>
      <c r="I124" s="6"/>
      <c r="J124" s="6"/>
      <c r="K124" s="41" t="s">
        <v>244</v>
      </c>
      <c r="L124" s="27">
        <f>M124/M123</f>
        <v>0.86916451335055978</v>
      </c>
      <c r="M124" s="12">
        <v>1.1679398148148148E-3</v>
      </c>
      <c r="N124" s="12"/>
      <c r="O124" s="12"/>
      <c r="P124" s="12"/>
      <c r="Q124" s="12"/>
      <c r="R124" s="12"/>
      <c r="S124" s="12"/>
      <c r="T124" s="12"/>
      <c r="U124" s="12"/>
      <c r="V124" s="12"/>
      <c r="W124" s="12"/>
      <c r="X124" s="12"/>
      <c r="Y124" s="12"/>
      <c r="Z124" s="12"/>
    </row>
    <row r="125" spans="1:27" ht="6" customHeight="1" x14ac:dyDescent="0.25">
      <c r="C125" s="5"/>
      <c r="D125" s="5"/>
    </row>
    <row r="126" spans="1:27" x14ac:dyDescent="0.25">
      <c r="C126" s="9"/>
      <c r="D126" s="9"/>
      <c r="E126" s="9"/>
      <c r="F126" s="9"/>
      <c r="G126" s="3" t="s">
        <v>4</v>
      </c>
      <c r="H126" s="3" t="s">
        <v>5</v>
      </c>
      <c r="I126" s="3" t="s">
        <v>6</v>
      </c>
      <c r="J126" s="3" t="s">
        <v>7</v>
      </c>
      <c r="L126" s="28" t="s">
        <v>265</v>
      </c>
      <c r="M126" s="15" t="s">
        <v>243</v>
      </c>
      <c r="N126" s="15" t="s">
        <v>233</v>
      </c>
      <c r="O126" s="15" t="s">
        <v>232</v>
      </c>
      <c r="P126" s="15" t="s">
        <v>234</v>
      </c>
      <c r="Q126" s="15" t="s">
        <v>235</v>
      </c>
      <c r="R126" s="15" t="s">
        <v>236</v>
      </c>
      <c r="S126" s="15" t="s">
        <v>237</v>
      </c>
      <c r="T126" s="15" t="s">
        <v>238</v>
      </c>
      <c r="U126" s="15" t="s">
        <v>239</v>
      </c>
      <c r="V126" s="15" t="s">
        <v>240</v>
      </c>
      <c r="W126" s="15" t="s">
        <v>241</v>
      </c>
      <c r="X126" s="15" t="s">
        <v>242</v>
      </c>
      <c r="Y126" s="15"/>
      <c r="Z126" s="15"/>
    </row>
    <row r="127" spans="1:27" ht="14.4" x14ac:dyDescent="0.3">
      <c r="A127" t="s">
        <v>262</v>
      </c>
      <c r="C127" s="5"/>
      <c r="D127" s="5"/>
      <c r="E127" s="5"/>
      <c r="F127" s="5"/>
      <c r="G127" s="7"/>
      <c r="H127" s="7"/>
      <c r="I127" s="7"/>
      <c r="J127" s="6"/>
      <c r="K127" s="38"/>
      <c r="N127" s="13">
        <v>0.95189999999999997</v>
      </c>
      <c r="O127" s="13">
        <v>0.91249999999999998</v>
      </c>
      <c r="P127" s="13">
        <v>0.87309999999999999</v>
      </c>
      <c r="Q127" s="13">
        <v>0.8337</v>
      </c>
      <c r="R127" s="13">
        <v>0.79390000000000005</v>
      </c>
      <c r="S127" s="13">
        <v>0.75290000000000001</v>
      </c>
      <c r="T127" s="13">
        <v>0.70789999999999997</v>
      </c>
      <c r="U127" s="13">
        <v>0.65559999999999996</v>
      </c>
      <c r="V127" s="13">
        <v>0.59199999999999997</v>
      </c>
      <c r="W127" s="13">
        <v>0.5121</v>
      </c>
      <c r="X127" s="13">
        <v>0.40949999999999998</v>
      </c>
      <c r="Y127" s="13"/>
      <c r="Z127" s="13"/>
    </row>
    <row r="128" spans="1:27" ht="6" customHeight="1" x14ac:dyDescent="0.3">
      <c r="C128" s="5"/>
      <c r="D128" s="5"/>
      <c r="E128" s="5"/>
      <c r="F128" s="5"/>
      <c r="G128" s="7"/>
      <c r="H128" s="7"/>
      <c r="I128" s="7"/>
      <c r="J128" s="6"/>
      <c r="K128" s="38"/>
      <c r="N128" s="12"/>
      <c r="O128" s="12"/>
      <c r="P128" s="12"/>
      <c r="Q128" s="12"/>
      <c r="R128" s="12"/>
      <c r="S128" s="12"/>
      <c r="T128" s="12"/>
      <c r="U128" s="12"/>
      <c r="V128" s="12"/>
      <c r="W128" s="12"/>
      <c r="X128" s="12"/>
      <c r="Y128" s="12"/>
      <c r="Z128" s="13"/>
    </row>
    <row r="129" spans="1:26" x14ac:dyDescent="0.25">
      <c r="A129" s="6" t="s">
        <v>12</v>
      </c>
      <c r="B129">
        <v>301</v>
      </c>
      <c r="C129" s="5"/>
      <c r="D129" s="5"/>
      <c r="E129" s="5" t="e">
        <f>$B129/#REF!</f>
        <v>#REF!</v>
      </c>
      <c r="F129" s="5" t="e">
        <f>$B129/#REF!</f>
        <v>#REF!</v>
      </c>
      <c r="G129" s="16">
        <v>3.472222222222222E-3</v>
      </c>
      <c r="H129">
        <v>5.1100000000000003</v>
      </c>
      <c r="I129">
        <v>5.14</v>
      </c>
      <c r="J129">
        <v>5.28</v>
      </c>
      <c r="L129" s="27">
        <v>1.3</v>
      </c>
      <c r="M129" s="16">
        <f>M$136*L129</f>
        <v>3.6261574074074074E-3</v>
      </c>
      <c r="N129" s="12">
        <f t="shared" ref="N129:X134" si="14">$M129/N$127</f>
        <v>3.8093890192324904E-3</v>
      </c>
      <c r="O129" s="12">
        <f t="shared" si="14"/>
        <v>3.9738711314053782E-3</v>
      </c>
      <c r="P129" s="12">
        <f t="shared" si="14"/>
        <v>4.1531982675608835E-3</v>
      </c>
      <c r="Q129" s="12">
        <f t="shared" si="14"/>
        <v>4.3494751198361612E-3</v>
      </c>
      <c r="R129" s="12">
        <f t="shared" si="14"/>
        <v>4.5675241307562755E-3</v>
      </c>
      <c r="S129" s="12">
        <f t="shared" si="14"/>
        <v>4.81625369558694E-3</v>
      </c>
      <c r="T129" s="12">
        <f t="shared" si="14"/>
        <v>5.1224147583096586E-3</v>
      </c>
      <c r="U129" s="12">
        <f t="shared" si="14"/>
        <v>5.531051567125393E-3</v>
      </c>
      <c r="V129" s="25">
        <f t="shared" si="14"/>
        <v>6.125265890890891E-3</v>
      </c>
      <c r="W129" s="12">
        <f t="shared" si="14"/>
        <v>7.080955687184939E-3</v>
      </c>
      <c r="X129" s="12">
        <f t="shared" si="14"/>
        <v>8.8550852439741329E-3</v>
      </c>
      <c r="Y129" s="12"/>
      <c r="Z129" s="12"/>
    </row>
    <row r="130" spans="1:26" x14ac:dyDescent="0.25">
      <c r="A130">
        <v>7</v>
      </c>
      <c r="B130">
        <v>413</v>
      </c>
      <c r="C130" s="5"/>
      <c r="D130" s="5"/>
      <c r="E130" s="5" t="e">
        <f>$B130/#REF!</f>
        <v>#REF!</v>
      </c>
      <c r="F130" s="5" t="e">
        <f>$B130/#REF!</f>
        <v>#REF!</v>
      </c>
      <c r="G130" s="16">
        <v>3.2986111111111111E-3</v>
      </c>
      <c r="H130">
        <v>4.59</v>
      </c>
      <c r="I130">
        <v>5.0199999999999996</v>
      </c>
      <c r="J130">
        <v>5.19</v>
      </c>
      <c r="L130" s="27">
        <v>1.22</v>
      </c>
      <c r="M130" s="16">
        <f>M$136*L130</f>
        <v>3.4030092592592593E-3</v>
      </c>
      <c r="N130" s="12">
        <f t="shared" si="14"/>
        <v>3.5749650795874142E-3</v>
      </c>
      <c r="O130" s="12">
        <f t="shared" si="14"/>
        <v>3.7293252156265855E-3</v>
      </c>
      <c r="P130" s="12">
        <f t="shared" si="14"/>
        <v>3.8976168357109831E-3</v>
      </c>
      <c r="Q130" s="12">
        <f t="shared" si="14"/>
        <v>4.0818151124616276E-3</v>
      </c>
      <c r="R130" s="12">
        <f t="shared" si="14"/>
        <v>4.2864457227097356E-3</v>
      </c>
      <c r="S130" s="12">
        <f t="shared" si="14"/>
        <v>4.5198688527815899E-3</v>
      </c>
      <c r="T130" s="12">
        <f t="shared" si="14"/>
        <v>4.8071892347213725E-3</v>
      </c>
      <c r="U130" s="12">
        <f t="shared" si="14"/>
        <v>5.1906791629945997E-3</v>
      </c>
      <c r="V130" s="12">
        <f t="shared" si="14"/>
        <v>5.7483264514514515E-3</v>
      </c>
      <c r="W130" s="12">
        <f t="shared" si="14"/>
        <v>6.6452045679735589E-3</v>
      </c>
      <c r="X130" s="12">
        <f t="shared" si="14"/>
        <v>8.3101569212680332E-3</v>
      </c>
      <c r="Y130" s="12"/>
      <c r="Z130" s="12"/>
    </row>
    <row r="131" spans="1:26" x14ac:dyDescent="0.25">
      <c r="A131">
        <v>8</v>
      </c>
      <c r="B131">
        <v>529</v>
      </c>
      <c r="C131" s="5"/>
      <c r="D131" s="5"/>
      <c r="E131" s="5" t="e">
        <f>$B131/#REF!</f>
        <v>#REF!</v>
      </c>
      <c r="F131" s="5" t="e">
        <f>$B131/#REF!</f>
        <v>#REF!</v>
      </c>
      <c r="G131" s="16">
        <v>3.1481481481481482E-3</v>
      </c>
      <c r="H131">
        <v>4.4800000000000004</v>
      </c>
      <c r="I131">
        <v>4.51</v>
      </c>
      <c r="J131">
        <v>5.0999999999999996</v>
      </c>
      <c r="L131" s="27">
        <v>1.1499999999999999</v>
      </c>
      <c r="M131" s="16">
        <f>M$136*L131</f>
        <v>3.2077546296296294E-3</v>
      </c>
      <c r="N131" s="12">
        <f t="shared" si="14"/>
        <v>3.3698441323979718E-3</v>
      </c>
      <c r="O131" s="12">
        <f t="shared" si="14"/>
        <v>3.5153475393201418E-3</v>
      </c>
      <c r="P131" s="12">
        <f t="shared" si="14"/>
        <v>3.6739830828423198E-3</v>
      </c>
      <c r="Q131" s="12">
        <f t="shared" si="14"/>
        <v>3.8476126060089113E-3</v>
      </c>
      <c r="R131" s="12">
        <f t="shared" si="14"/>
        <v>4.0405021156690131E-3</v>
      </c>
      <c r="S131" s="12">
        <f t="shared" si="14"/>
        <v>4.2605321153269086E-3</v>
      </c>
      <c r="T131" s="12">
        <f t="shared" si="14"/>
        <v>4.5313669015816212E-3</v>
      </c>
      <c r="U131" s="12">
        <f t="shared" si="14"/>
        <v>4.8928533093801551E-3</v>
      </c>
      <c r="V131" s="12">
        <f t="shared" si="14"/>
        <v>5.4185044419419416E-3</v>
      </c>
      <c r="W131" s="12">
        <f t="shared" si="14"/>
        <v>6.2639223386635997E-3</v>
      </c>
      <c r="X131" s="12">
        <f t="shared" si="14"/>
        <v>7.8333446389001939E-3</v>
      </c>
      <c r="Y131" s="12"/>
      <c r="Z131" s="12"/>
    </row>
    <row r="132" spans="1:26" x14ac:dyDescent="0.25">
      <c r="A132">
        <v>9</v>
      </c>
      <c r="B132">
        <v>647</v>
      </c>
      <c r="C132" s="5"/>
      <c r="D132" s="5"/>
      <c r="E132" s="5" t="e">
        <f>$B132/#REF!</f>
        <v>#REF!</v>
      </c>
      <c r="F132" s="5" t="e">
        <f>$B132/#REF!</f>
        <v>#REF!</v>
      </c>
      <c r="G132" s="16">
        <v>3.0208333333333333E-3</v>
      </c>
      <c r="H132">
        <v>4.37</v>
      </c>
      <c r="I132">
        <v>4.41</v>
      </c>
      <c r="J132">
        <v>5.0199999999999996</v>
      </c>
      <c r="L132" s="27">
        <v>1.0900000000000001</v>
      </c>
      <c r="M132" s="16">
        <f>M$136*L132</f>
        <v>3.0403935185185187E-3</v>
      </c>
      <c r="N132" s="12">
        <f t="shared" si="14"/>
        <v>3.194026177664165E-3</v>
      </c>
      <c r="O132" s="12">
        <f t="shared" si="14"/>
        <v>3.3319381024860479E-3</v>
      </c>
      <c r="P132" s="12">
        <f t="shared" si="14"/>
        <v>3.4822970089548951E-3</v>
      </c>
      <c r="Q132" s="12">
        <f t="shared" si="14"/>
        <v>3.6468676004780122E-3</v>
      </c>
      <c r="R132" s="12">
        <f t="shared" si="14"/>
        <v>3.8296933096341082E-3</v>
      </c>
      <c r="S132" s="12">
        <f t="shared" si="14"/>
        <v>4.0382434832228961E-3</v>
      </c>
      <c r="T132" s="12">
        <f t="shared" si="14"/>
        <v>4.2949477588904066E-3</v>
      </c>
      <c r="U132" s="25">
        <f t="shared" si="14"/>
        <v>4.6375740062820602E-3</v>
      </c>
      <c r="V132" s="12">
        <f t="shared" si="14"/>
        <v>5.1357998623623629E-3</v>
      </c>
      <c r="W132" s="12">
        <f t="shared" si="14"/>
        <v>5.9371089992550649E-3</v>
      </c>
      <c r="X132" s="12">
        <f t="shared" si="14"/>
        <v>7.4246483968706195E-3</v>
      </c>
      <c r="Y132" s="12"/>
      <c r="Z132" s="12"/>
    </row>
    <row r="133" spans="1:26" x14ac:dyDescent="0.25">
      <c r="A133">
        <v>10</v>
      </c>
      <c r="B133">
        <v>765</v>
      </c>
      <c r="C133" s="5"/>
      <c r="D133" s="5"/>
      <c r="E133" s="5" t="e">
        <f>$B133/#REF!</f>
        <v>#REF!</v>
      </c>
      <c r="F133" s="5" t="e">
        <f>$B133/#REF!</f>
        <v>#REF!</v>
      </c>
      <c r="G133" s="16">
        <v>2.8935185185185188E-3</v>
      </c>
      <c r="H133">
        <v>4.28</v>
      </c>
      <c r="I133">
        <v>4.32</v>
      </c>
      <c r="J133">
        <v>4.55</v>
      </c>
      <c r="L133" s="27">
        <v>1.04</v>
      </c>
      <c r="M133" s="16">
        <f>M$136*L133</f>
        <v>2.9009259259259262E-3</v>
      </c>
      <c r="N133" s="25">
        <f t="shared" si="14"/>
        <v>3.0475112153859926E-3</v>
      </c>
      <c r="O133" s="12">
        <f t="shared" si="14"/>
        <v>3.1790969051243025E-3</v>
      </c>
      <c r="P133" s="12">
        <f t="shared" si="14"/>
        <v>3.322558614048707E-3</v>
      </c>
      <c r="Q133" s="12">
        <f t="shared" si="14"/>
        <v>3.479580095868929E-3</v>
      </c>
      <c r="R133" s="12">
        <f t="shared" si="14"/>
        <v>3.6540193046050206E-3</v>
      </c>
      <c r="S133" s="12">
        <f t="shared" si="14"/>
        <v>3.8530029564695523E-3</v>
      </c>
      <c r="T133" s="12">
        <f t="shared" si="14"/>
        <v>4.0979318066477277E-3</v>
      </c>
      <c r="U133" s="12">
        <f t="shared" si="14"/>
        <v>4.4248412537003148E-3</v>
      </c>
      <c r="V133" s="12">
        <f t="shared" si="14"/>
        <v>4.9002127127127136E-3</v>
      </c>
      <c r="W133" s="12">
        <f t="shared" si="14"/>
        <v>5.6647645497479521E-3</v>
      </c>
      <c r="X133" s="12">
        <f t="shared" si="14"/>
        <v>7.0840681951793074E-3</v>
      </c>
      <c r="Y133" s="12"/>
      <c r="Z133" s="12"/>
    </row>
    <row r="134" spans="1:26" x14ac:dyDescent="0.25">
      <c r="A134">
        <v>11</v>
      </c>
      <c r="B134">
        <v>888</v>
      </c>
      <c r="C134" s="5"/>
      <c r="D134" s="5"/>
      <c r="E134" s="5" t="e">
        <f>$B134/#REF!</f>
        <v>#REF!</v>
      </c>
      <c r="F134" s="5" t="e">
        <f>$B134/#REF!</f>
        <v>#REF!</v>
      </c>
      <c r="G134" s="16">
        <v>2.7662037037037034E-3</v>
      </c>
      <c r="H134">
        <v>4.1900000000000004</v>
      </c>
      <c r="I134">
        <v>4.2300000000000004</v>
      </c>
      <c r="J134">
        <v>4.4800000000000004</v>
      </c>
      <c r="L134" s="27">
        <v>1</v>
      </c>
      <c r="M134" s="24">
        <f>M$136/L134</f>
        <v>2.7893518518518519E-3</v>
      </c>
      <c r="N134" s="12">
        <f t="shared" si="14"/>
        <v>2.930299245563454E-3</v>
      </c>
      <c r="O134" s="25">
        <f t="shared" si="14"/>
        <v>3.0568239472349061E-3</v>
      </c>
      <c r="P134" s="25">
        <f t="shared" si="14"/>
        <v>3.1947678981237566E-3</v>
      </c>
      <c r="Q134" s="25">
        <f t="shared" si="14"/>
        <v>3.3457500921816622E-3</v>
      </c>
      <c r="R134" s="25">
        <f t="shared" si="14"/>
        <v>3.5134801005817506E-3</v>
      </c>
      <c r="S134" s="25">
        <f t="shared" si="14"/>
        <v>3.7048105350668773E-3</v>
      </c>
      <c r="T134" s="25">
        <f t="shared" si="14"/>
        <v>3.9403190448535838E-3</v>
      </c>
      <c r="U134" s="12">
        <f t="shared" si="14"/>
        <v>4.2546550516349181E-3</v>
      </c>
      <c r="V134" s="12">
        <f t="shared" si="14"/>
        <v>4.7117429929929931E-3</v>
      </c>
      <c r="W134" s="12">
        <f t="shared" si="14"/>
        <v>5.4468889901422611E-3</v>
      </c>
      <c r="X134" s="12">
        <f t="shared" si="14"/>
        <v>6.8116040338262566E-3</v>
      </c>
      <c r="Y134" s="12"/>
      <c r="Z134" s="12"/>
    </row>
    <row r="135" spans="1:26" ht="6" customHeight="1" x14ac:dyDescent="0.25">
      <c r="C135" s="5"/>
      <c r="D135" s="5"/>
      <c r="E135" s="5"/>
      <c r="F135" s="5"/>
      <c r="G135" s="16"/>
      <c r="M135" s="16"/>
      <c r="N135" s="12"/>
      <c r="O135" s="12"/>
      <c r="P135" s="19"/>
      <c r="Q135" s="12"/>
      <c r="R135" s="12"/>
      <c r="S135" s="12"/>
      <c r="T135" s="12"/>
      <c r="U135" s="12"/>
      <c r="V135" s="12"/>
      <c r="W135" s="12"/>
      <c r="X135" s="12"/>
      <c r="Y135" s="12"/>
      <c r="Z135" s="12"/>
    </row>
    <row r="136" spans="1:26" s="14" customFormat="1" x14ac:dyDescent="0.25">
      <c r="C136" s="32"/>
      <c r="D136" s="32"/>
      <c r="E136" s="32"/>
      <c r="F136" s="32"/>
      <c r="G136" s="18"/>
      <c r="K136" s="40" t="s">
        <v>266</v>
      </c>
      <c r="L136" s="31"/>
      <c r="M136" s="18">
        <v>2.7893518518518519E-3</v>
      </c>
      <c r="N136" s="19">
        <v>3.0145833333333331E-3</v>
      </c>
      <c r="O136" s="19">
        <v>3.0473379629629631E-3</v>
      </c>
      <c r="P136" s="19">
        <v>3.0659722222222221E-3</v>
      </c>
      <c r="Q136" s="19">
        <v>3.2480324074074074E-3</v>
      </c>
      <c r="R136" s="19">
        <v>3.5407407407407406E-3</v>
      </c>
      <c r="S136" s="19">
        <v>3.7194444444444441E-3</v>
      </c>
      <c r="T136" s="19">
        <v>3.9664351851851848E-3</v>
      </c>
      <c r="U136" s="19">
        <v>4.5277777777777773E-3</v>
      </c>
      <c r="V136" s="19">
        <v>5.8068287037037038E-3</v>
      </c>
      <c r="W136" s="19"/>
      <c r="X136" s="19"/>
      <c r="Y136" s="19"/>
      <c r="Z136" s="19"/>
    </row>
    <row r="137" spans="1:26" x14ac:dyDescent="0.25">
      <c r="C137" s="5"/>
      <c r="D137" s="5"/>
      <c r="E137" s="5"/>
      <c r="F137" s="5"/>
      <c r="G137" s="16"/>
      <c r="K137" s="41" t="s">
        <v>244</v>
      </c>
      <c r="L137" s="30">
        <f>M137/M136</f>
        <v>0.85477178423236511</v>
      </c>
      <c r="M137" s="22">
        <v>2.3842592592592591E-3</v>
      </c>
      <c r="N137" s="12"/>
      <c r="O137" s="12"/>
      <c r="P137" s="12"/>
      <c r="Q137" s="12"/>
      <c r="R137" s="12"/>
      <c r="S137" s="12"/>
      <c r="T137" s="12"/>
      <c r="U137" s="12"/>
      <c r="V137" s="12"/>
      <c r="W137" s="12"/>
      <c r="X137" s="12"/>
      <c r="Y137" s="12"/>
      <c r="Z137" s="12"/>
    </row>
    <row r="138" spans="1:26" hidden="1" x14ac:dyDescent="0.25">
      <c r="C138" s="5"/>
      <c r="D138" s="5"/>
      <c r="E138" s="5"/>
      <c r="F138" s="5"/>
      <c r="G138" s="16"/>
      <c r="Z138" s="15"/>
    </row>
    <row r="139" spans="1:26" ht="14.4" hidden="1" x14ac:dyDescent="0.3">
      <c r="C139" s="5"/>
      <c r="D139" s="5"/>
      <c r="E139" s="5"/>
      <c r="F139" s="5"/>
      <c r="G139" s="16"/>
      <c r="K139" s="38"/>
      <c r="Z139" s="13"/>
    </row>
    <row r="140" spans="1:26" hidden="1" x14ac:dyDescent="0.25">
      <c r="C140" s="5"/>
      <c r="D140" s="5"/>
      <c r="E140" s="5"/>
      <c r="F140" s="5"/>
      <c r="K140" s="38"/>
      <c r="Z140" s="12"/>
    </row>
    <row r="141" spans="1:26" hidden="1" x14ac:dyDescent="0.25">
      <c r="A141" t="s">
        <v>84</v>
      </c>
      <c r="C141" s="5"/>
      <c r="D141" s="5"/>
      <c r="E141" s="5"/>
      <c r="F141" s="5"/>
      <c r="G141" s="7"/>
      <c r="H141" s="7"/>
      <c r="I141" s="7" t="s">
        <v>85</v>
      </c>
      <c r="J141" s="6" t="s">
        <v>86</v>
      </c>
      <c r="K141" s="38"/>
      <c r="Z141" s="12"/>
    </row>
    <row r="142" spans="1:26" hidden="1" x14ac:dyDescent="0.25">
      <c r="A142" t="s">
        <v>9</v>
      </c>
      <c r="C142" s="5"/>
      <c r="D142" s="5"/>
      <c r="E142" s="5" t="s">
        <v>87</v>
      </c>
      <c r="F142" s="5" t="s">
        <v>88</v>
      </c>
      <c r="G142" s="7" t="s">
        <v>89</v>
      </c>
      <c r="H142" s="7" t="s">
        <v>85</v>
      </c>
      <c r="I142" s="7">
        <v>311.16000000000003</v>
      </c>
      <c r="J142" s="6">
        <v>344.18</v>
      </c>
      <c r="K142" s="38"/>
      <c r="Z142" s="12"/>
    </row>
    <row r="143" spans="1:26" hidden="1" x14ac:dyDescent="0.25">
      <c r="A143" s="6" t="s">
        <v>12</v>
      </c>
      <c r="B143">
        <v>301</v>
      </c>
      <c r="C143" s="5"/>
      <c r="D143" s="5"/>
      <c r="E143" s="5" t="e">
        <f>$B143/#REF!</f>
        <v>#REF!</v>
      </c>
      <c r="F143" s="5" t="e">
        <f>$B143/#REF!</f>
        <v>#REF!</v>
      </c>
      <c r="G143">
        <v>6.26</v>
      </c>
      <c r="H143">
        <v>6.45</v>
      </c>
      <c r="I143">
        <v>6.45</v>
      </c>
      <c r="J143">
        <v>7.05</v>
      </c>
      <c r="K143" s="38"/>
      <c r="Z143" s="12"/>
    </row>
    <row r="144" spans="1:26" hidden="1" x14ac:dyDescent="0.25">
      <c r="A144">
        <v>7</v>
      </c>
      <c r="B144">
        <v>413</v>
      </c>
      <c r="C144" s="5"/>
      <c r="D144" s="5"/>
      <c r="E144" s="5" t="e">
        <f>$B144/#REF!</f>
        <v>#REF!</v>
      </c>
      <c r="F144" s="5" t="e">
        <f>$B144/#REF!</f>
        <v>#REF!</v>
      </c>
      <c r="G144">
        <v>6</v>
      </c>
      <c r="H144">
        <v>6.22</v>
      </c>
      <c r="I144">
        <v>6.22</v>
      </c>
      <c r="J144">
        <v>6.45</v>
      </c>
      <c r="K144" s="38"/>
      <c r="Z144" s="12"/>
    </row>
    <row r="145" spans="1:26" hidden="1" x14ac:dyDescent="0.25">
      <c r="A145">
        <v>8</v>
      </c>
      <c r="B145">
        <v>529</v>
      </c>
      <c r="C145" s="5"/>
      <c r="D145" s="5"/>
      <c r="E145" s="5" t="e">
        <f>$B145/#REF!</f>
        <v>#REF!</v>
      </c>
      <c r="F145" s="5" t="e">
        <f>$B145/#REF!</f>
        <v>#REF!</v>
      </c>
      <c r="G145">
        <v>5.36</v>
      </c>
      <c r="H145">
        <v>6.01</v>
      </c>
      <c r="I145">
        <v>6.01</v>
      </c>
      <c r="J145">
        <v>6.27</v>
      </c>
      <c r="K145" s="38"/>
      <c r="Z145" s="12"/>
    </row>
    <row r="146" spans="1:26" hidden="1" x14ac:dyDescent="0.25">
      <c r="A146">
        <v>9</v>
      </c>
      <c r="B146">
        <v>647</v>
      </c>
      <c r="C146" s="5"/>
      <c r="D146" s="5"/>
      <c r="E146" s="5" t="e">
        <f>$B146/#REF!</f>
        <v>#REF!</v>
      </c>
      <c r="F146" s="5" t="e">
        <f>$B146/#REF!</f>
        <v>#REF!</v>
      </c>
      <c r="G146">
        <v>5.15</v>
      </c>
      <c r="H146">
        <v>5.43</v>
      </c>
      <c r="I146">
        <v>5.43</v>
      </c>
      <c r="J146">
        <v>6.11</v>
      </c>
      <c r="K146" s="38"/>
      <c r="Z146" s="12"/>
    </row>
    <row r="147" spans="1:26" hidden="1" x14ac:dyDescent="0.25">
      <c r="A147">
        <v>10</v>
      </c>
      <c r="B147">
        <v>765</v>
      </c>
      <c r="C147" s="5"/>
      <c r="D147" s="5"/>
      <c r="E147" s="5" t="e">
        <f>$B147/#REF!</f>
        <v>#REF!</v>
      </c>
      <c r="F147" s="5" t="e">
        <f>$B147/#REF!</f>
        <v>#REF!</v>
      </c>
      <c r="G147">
        <v>4.55</v>
      </c>
      <c r="H147">
        <v>5.25</v>
      </c>
      <c r="I147">
        <v>5.25</v>
      </c>
      <c r="J147">
        <v>5.56</v>
      </c>
      <c r="K147" s="38"/>
      <c r="Z147" s="12"/>
    </row>
    <row r="148" spans="1:26" hidden="1" x14ac:dyDescent="0.25">
      <c r="A148">
        <v>11</v>
      </c>
      <c r="B148">
        <v>888</v>
      </c>
      <c r="C148" s="5"/>
      <c r="D148" s="5"/>
      <c r="E148" s="5" t="e">
        <f>$B148/#REF!</f>
        <v>#REF!</v>
      </c>
      <c r="F148" s="5" t="e">
        <f>$B148/#REF!</f>
        <v>#REF!</v>
      </c>
      <c r="G148">
        <v>4.3600000000000003</v>
      </c>
      <c r="H148">
        <v>5.09</v>
      </c>
      <c r="I148">
        <v>5.09</v>
      </c>
      <c r="J148">
        <v>5.42</v>
      </c>
      <c r="K148" s="38"/>
      <c r="Z148" s="12"/>
    </row>
    <row r="149" spans="1:26" hidden="1" x14ac:dyDescent="0.25">
      <c r="C149" s="5"/>
      <c r="D149" s="5"/>
      <c r="E149" s="5"/>
      <c r="F149" s="5"/>
      <c r="K149" s="38"/>
    </row>
    <row r="150" spans="1:26" hidden="1" x14ac:dyDescent="0.25">
      <c r="A150" t="s">
        <v>90</v>
      </c>
      <c r="C150" s="5"/>
      <c r="D150" s="5"/>
      <c r="E150" s="5"/>
      <c r="F150" s="5"/>
      <c r="G150" s="7"/>
      <c r="H150" s="7"/>
      <c r="I150" s="7" t="s">
        <v>91</v>
      </c>
      <c r="J150" s="6" t="s">
        <v>92</v>
      </c>
      <c r="K150" s="38"/>
    </row>
    <row r="151" spans="1:26" hidden="1" x14ac:dyDescent="0.25">
      <c r="A151" t="s">
        <v>9</v>
      </c>
      <c r="C151" s="5"/>
      <c r="D151" s="5"/>
      <c r="E151" s="5" t="s">
        <v>93</v>
      </c>
      <c r="F151" s="5" t="s">
        <v>94</v>
      </c>
      <c r="G151" s="7" t="s">
        <v>95</v>
      </c>
      <c r="H151" s="7" t="s">
        <v>96</v>
      </c>
      <c r="I151" s="7">
        <v>292.36</v>
      </c>
      <c r="J151" s="6">
        <f>I151/0.9</f>
        <v>324.84444444444443</v>
      </c>
    </row>
    <row r="152" spans="1:26" hidden="1" x14ac:dyDescent="0.25">
      <c r="A152" s="6" t="s">
        <v>12</v>
      </c>
      <c r="B152">
        <v>301</v>
      </c>
      <c r="C152" s="5"/>
      <c r="D152" s="5"/>
      <c r="E152" s="5" t="e">
        <f>$B152/#REF!</f>
        <v>#REF!</v>
      </c>
      <c r="F152" s="5" t="e">
        <f>$B152/#REF!</f>
        <v>#REF!</v>
      </c>
      <c r="G152" s="6" t="s">
        <v>97</v>
      </c>
      <c r="H152" s="6" t="s">
        <v>98</v>
      </c>
      <c r="I152" s="6" t="s">
        <v>99</v>
      </c>
      <c r="J152" s="6" t="s">
        <v>100</v>
      </c>
    </row>
    <row r="153" spans="1:26" hidden="1" x14ac:dyDescent="0.25">
      <c r="A153">
        <v>7</v>
      </c>
      <c r="B153">
        <v>413</v>
      </c>
      <c r="C153" s="5"/>
      <c r="D153" s="5"/>
      <c r="E153" s="5" t="e">
        <f>$B153/#REF!</f>
        <v>#REF!</v>
      </c>
      <c r="F153" s="5" t="e">
        <f>$B153/#REF!</f>
        <v>#REF!</v>
      </c>
      <c r="G153" s="6" t="s">
        <v>101</v>
      </c>
      <c r="H153" s="6" t="s">
        <v>102</v>
      </c>
      <c r="I153" s="6" t="s">
        <v>103</v>
      </c>
      <c r="J153" s="6" t="s">
        <v>104</v>
      </c>
      <c r="K153" s="34"/>
    </row>
    <row r="154" spans="1:26" hidden="1" x14ac:dyDescent="0.25">
      <c r="A154">
        <v>8</v>
      </c>
      <c r="B154">
        <v>529</v>
      </c>
      <c r="C154" s="5"/>
      <c r="D154" s="5"/>
      <c r="E154" s="5" t="e">
        <f>$B154/#REF!</f>
        <v>#REF!</v>
      </c>
      <c r="F154" s="5" t="e">
        <f>$B154/#REF!</f>
        <v>#REF!</v>
      </c>
      <c r="G154" s="6" t="s">
        <v>105</v>
      </c>
      <c r="H154" s="6" t="s">
        <v>106</v>
      </c>
      <c r="I154" s="6" t="s">
        <v>107</v>
      </c>
      <c r="J154" s="6" t="s">
        <v>108</v>
      </c>
      <c r="K154" s="38"/>
    </row>
    <row r="155" spans="1:26" hidden="1" x14ac:dyDescent="0.25">
      <c r="A155">
        <v>9</v>
      </c>
      <c r="B155">
        <v>647</v>
      </c>
      <c r="C155" s="5"/>
      <c r="D155" s="5"/>
      <c r="E155" s="5" t="e">
        <f>$B155/#REF!</f>
        <v>#REF!</v>
      </c>
      <c r="F155" s="5" t="e">
        <f>$B155/#REF!</f>
        <v>#REF!</v>
      </c>
      <c r="G155" s="6" t="s">
        <v>109</v>
      </c>
      <c r="H155" s="6" t="s">
        <v>110</v>
      </c>
      <c r="I155" s="6" t="s">
        <v>111</v>
      </c>
      <c r="J155" s="6" t="s">
        <v>112</v>
      </c>
      <c r="K155" s="38"/>
    </row>
    <row r="156" spans="1:26" hidden="1" x14ac:dyDescent="0.25">
      <c r="A156">
        <v>10</v>
      </c>
      <c r="B156">
        <v>765</v>
      </c>
      <c r="C156" s="5"/>
      <c r="D156" s="5"/>
      <c r="E156" s="5" t="e">
        <f>$B156/#REF!</f>
        <v>#REF!</v>
      </c>
      <c r="F156" s="5" t="e">
        <f>$B156/#REF!</f>
        <v>#REF!</v>
      </c>
      <c r="G156" s="6" t="s">
        <v>113</v>
      </c>
      <c r="H156" s="6" t="s">
        <v>114</v>
      </c>
      <c r="I156" s="6" t="s">
        <v>115</v>
      </c>
      <c r="J156" s="6" t="s">
        <v>116</v>
      </c>
      <c r="K156" s="38"/>
    </row>
    <row r="157" spans="1:26" hidden="1" x14ac:dyDescent="0.25">
      <c r="A157">
        <v>11</v>
      </c>
      <c r="B157">
        <v>888</v>
      </c>
      <c r="C157" s="5"/>
      <c r="D157" s="5"/>
      <c r="E157" s="5" t="e">
        <f>$B157/#REF!</f>
        <v>#REF!</v>
      </c>
      <c r="F157" s="5" t="e">
        <f>$B157/#REF!</f>
        <v>#REF!</v>
      </c>
      <c r="G157" s="6" t="s">
        <v>117</v>
      </c>
      <c r="H157" s="6" t="s">
        <v>118</v>
      </c>
      <c r="I157" s="6" t="s">
        <v>119</v>
      </c>
      <c r="J157" s="6" t="s">
        <v>120</v>
      </c>
      <c r="K157" s="38"/>
    </row>
    <row r="158" spans="1:26" hidden="1" x14ac:dyDescent="0.25">
      <c r="C158" s="5"/>
      <c r="D158" s="5"/>
      <c r="E158" s="5"/>
      <c r="F158" s="5"/>
      <c r="G158" s="5"/>
      <c r="H158" s="5"/>
      <c r="I158" s="5"/>
      <c r="K158" s="38"/>
    </row>
    <row r="159" spans="1:26" hidden="1" x14ac:dyDescent="0.25">
      <c r="A159" t="s">
        <v>121</v>
      </c>
      <c r="C159" s="5"/>
      <c r="D159" s="5"/>
      <c r="E159" s="5"/>
      <c r="F159" s="5"/>
      <c r="G159" s="7"/>
      <c r="H159" s="7"/>
      <c r="I159" s="7" t="s">
        <v>122</v>
      </c>
      <c r="J159" s="6" t="s">
        <v>123</v>
      </c>
      <c r="K159" s="38"/>
    </row>
    <row r="160" spans="1:26" hidden="1" x14ac:dyDescent="0.25">
      <c r="A160" t="s">
        <v>9</v>
      </c>
      <c r="C160" s="5"/>
      <c r="D160" s="5"/>
      <c r="E160" s="5" t="s">
        <v>124</v>
      </c>
      <c r="F160" s="5" t="s">
        <v>125</v>
      </c>
      <c r="G160" s="7" t="s">
        <v>126</v>
      </c>
      <c r="H160" s="7" t="s">
        <v>127</v>
      </c>
      <c r="I160" s="7">
        <v>345.49</v>
      </c>
      <c r="J160" s="6">
        <f>I160/0.9</f>
        <v>383.87777777777779</v>
      </c>
      <c r="K160" s="38"/>
    </row>
    <row r="161" spans="1:12" hidden="1" x14ac:dyDescent="0.25">
      <c r="A161" s="6" t="s">
        <v>12</v>
      </c>
      <c r="B161">
        <v>301</v>
      </c>
      <c r="C161" s="5"/>
      <c r="D161" s="5"/>
      <c r="E161" s="5" t="e">
        <f>$B161/#REF!</f>
        <v>#REF!</v>
      </c>
      <c r="F161" s="5" t="e">
        <f>$B161/#REF!</f>
        <v>#REF!</v>
      </c>
      <c r="G161">
        <v>6.54</v>
      </c>
      <c r="H161">
        <v>7.2</v>
      </c>
      <c r="I161">
        <v>7.22</v>
      </c>
      <c r="J161">
        <v>7.45</v>
      </c>
      <c r="K161" s="38"/>
    </row>
    <row r="162" spans="1:12" hidden="1" x14ac:dyDescent="0.25">
      <c r="A162">
        <v>7</v>
      </c>
      <c r="B162">
        <v>413</v>
      </c>
      <c r="C162" s="5"/>
      <c r="D162" s="5"/>
      <c r="E162" s="5" t="e">
        <f>$B162/#REF!</f>
        <v>#REF!</v>
      </c>
      <c r="F162" s="5" t="e">
        <f>$B162/#REF!</f>
        <v>#REF!</v>
      </c>
      <c r="G162">
        <v>6.26</v>
      </c>
      <c r="H162">
        <v>6.56</v>
      </c>
      <c r="I162">
        <v>6.58</v>
      </c>
      <c r="J162">
        <v>7.25</v>
      </c>
      <c r="K162" s="38"/>
    </row>
    <row r="163" spans="1:12" hidden="1" x14ac:dyDescent="0.25">
      <c r="A163">
        <v>8</v>
      </c>
      <c r="B163">
        <v>529</v>
      </c>
      <c r="C163" s="5"/>
      <c r="D163" s="5"/>
      <c r="E163" s="5" t="e">
        <f>$B163/#REF!</f>
        <v>#REF!</v>
      </c>
      <c r="F163" s="5" t="e">
        <f>$B163/#REF!</f>
        <v>#REF!</v>
      </c>
      <c r="G163">
        <v>6</v>
      </c>
      <c r="H163">
        <v>6.34</v>
      </c>
      <c r="I163">
        <v>6.37</v>
      </c>
      <c r="J163">
        <v>7.07</v>
      </c>
      <c r="K163" s="38"/>
    </row>
    <row r="164" spans="1:12" hidden="1" x14ac:dyDescent="0.25">
      <c r="A164">
        <v>9</v>
      </c>
      <c r="B164">
        <v>647</v>
      </c>
      <c r="C164" s="5"/>
      <c r="D164" s="5"/>
      <c r="E164" s="5" t="e">
        <f>$B164/#REF!</f>
        <v>#REF!</v>
      </c>
      <c r="F164" s="5" t="e">
        <f>$B164/#REF!</f>
        <v>#REF!</v>
      </c>
      <c r="G164">
        <v>5.37</v>
      </c>
      <c r="H164">
        <v>6.15</v>
      </c>
      <c r="I164">
        <v>6.18</v>
      </c>
      <c r="J164">
        <v>6.51</v>
      </c>
      <c r="K164" s="38"/>
    </row>
    <row r="165" spans="1:12" hidden="1" x14ac:dyDescent="0.25">
      <c r="A165">
        <v>10</v>
      </c>
      <c r="B165">
        <v>765</v>
      </c>
      <c r="C165" s="5"/>
      <c r="D165" s="5"/>
      <c r="E165" s="5" t="e">
        <f>$B165/#REF!</f>
        <v>#REF!</v>
      </c>
      <c r="F165" s="5" t="e">
        <f>$B165/#REF!</f>
        <v>#REF!</v>
      </c>
      <c r="G165">
        <v>5.16</v>
      </c>
      <c r="H165">
        <v>5.57</v>
      </c>
      <c r="I165">
        <v>6</v>
      </c>
      <c r="J165">
        <v>6.36</v>
      </c>
      <c r="K165" s="38"/>
    </row>
    <row r="166" spans="1:12" hidden="1" x14ac:dyDescent="0.25">
      <c r="A166">
        <v>11</v>
      </c>
      <c r="B166">
        <v>888</v>
      </c>
      <c r="C166" s="5"/>
      <c r="D166" s="5"/>
      <c r="E166" s="5" t="e">
        <f>$B166/#REF!</f>
        <v>#REF!</v>
      </c>
      <c r="F166" s="5" t="e">
        <f>$B166/#REF!</f>
        <v>#REF!</v>
      </c>
      <c r="G166">
        <v>4.5600000000000005</v>
      </c>
      <c r="H166">
        <v>5.4</v>
      </c>
      <c r="I166">
        <v>5.43</v>
      </c>
      <c r="J166">
        <v>6.22</v>
      </c>
      <c r="K166" s="38"/>
    </row>
    <row r="167" spans="1:12" hidden="1" x14ac:dyDescent="0.25">
      <c r="C167" s="5"/>
      <c r="D167" s="5"/>
      <c r="E167" s="5"/>
      <c r="F167" s="5"/>
      <c r="K167" s="38"/>
    </row>
    <row r="168" spans="1:12" hidden="1" x14ac:dyDescent="0.25">
      <c r="K168" s="38"/>
    </row>
    <row r="169" spans="1:12" hidden="1" x14ac:dyDescent="0.25">
      <c r="K169" s="38"/>
    </row>
    <row r="170" spans="1:12" hidden="1" x14ac:dyDescent="0.25">
      <c r="K170" s="38"/>
    </row>
    <row r="171" spans="1:12" hidden="1" x14ac:dyDescent="0.25">
      <c r="K171" s="38" t="s">
        <v>244</v>
      </c>
    </row>
    <row r="172" spans="1:12" hidden="1" x14ac:dyDescent="0.25"/>
    <row r="173" spans="1:12" hidden="1" x14ac:dyDescent="0.25">
      <c r="C173" s="2" t="s">
        <v>0</v>
      </c>
      <c r="D173" s="2" t="s">
        <v>1</v>
      </c>
      <c r="E173" s="2" t="s">
        <v>2</v>
      </c>
      <c r="F173" s="2" t="s">
        <v>3</v>
      </c>
      <c r="G173" s="3" t="s">
        <v>4</v>
      </c>
      <c r="H173" s="3" t="s">
        <v>5</v>
      </c>
      <c r="I173" s="3" t="s">
        <v>6</v>
      </c>
      <c r="J173" s="3" t="s">
        <v>7</v>
      </c>
      <c r="K173" s="34"/>
      <c r="L173" s="28"/>
    </row>
    <row r="174" spans="1:12" hidden="1" x14ac:dyDescent="0.25">
      <c r="A174" t="s">
        <v>128</v>
      </c>
      <c r="C174" s="5"/>
      <c r="D174" s="5"/>
      <c r="E174" s="5"/>
      <c r="F174" s="5"/>
      <c r="G174" s="7"/>
      <c r="H174" s="7"/>
      <c r="I174" s="7" t="s">
        <v>129</v>
      </c>
      <c r="J174" s="6" t="s">
        <v>130</v>
      </c>
      <c r="K174" s="38"/>
    </row>
    <row r="175" spans="1:12" hidden="1" x14ac:dyDescent="0.25">
      <c r="A175" t="s">
        <v>9</v>
      </c>
      <c r="C175" s="5"/>
      <c r="D175" s="5"/>
      <c r="E175" s="5" t="s">
        <v>131</v>
      </c>
      <c r="F175" s="5" t="s">
        <v>132</v>
      </c>
      <c r="G175" s="7" t="s">
        <v>133</v>
      </c>
      <c r="H175" s="7" t="s">
        <v>134</v>
      </c>
      <c r="I175" s="7">
        <v>369.2</v>
      </c>
      <c r="J175" s="6">
        <f>I175/0.9</f>
        <v>410.22222222222217</v>
      </c>
      <c r="K175" s="38"/>
    </row>
    <row r="176" spans="1:12" hidden="1" x14ac:dyDescent="0.25">
      <c r="A176" s="6" t="s">
        <v>12</v>
      </c>
      <c r="B176">
        <v>301</v>
      </c>
      <c r="C176" s="5"/>
      <c r="D176" s="5"/>
      <c r="E176" s="5" t="e">
        <f>$B176/#REF!</f>
        <v>#REF!</v>
      </c>
      <c r="F176" s="5" t="e">
        <f>$B176/#REF!</f>
        <v>#REF!</v>
      </c>
      <c r="G176">
        <v>6.5</v>
      </c>
      <c r="H176">
        <v>7.06</v>
      </c>
      <c r="I176">
        <v>7.14</v>
      </c>
      <c r="J176">
        <v>7.38</v>
      </c>
    </row>
    <row r="177" spans="1:11" hidden="1" x14ac:dyDescent="0.25">
      <c r="A177">
        <v>7</v>
      </c>
      <c r="B177">
        <v>413</v>
      </c>
      <c r="C177" s="5"/>
      <c r="D177" s="5"/>
      <c r="E177" s="5" t="e">
        <f>$B177/#REF!</f>
        <v>#REF!</v>
      </c>
      <c r="F177" s="5" t="e">
        <f>$B177/#REF!</f>
        <v>#REF!</v>
      </c>
      <c r="G177">
        <v>6.29</v>
      </c>
      <c r="H177">
        <v>6.49</v>
      </c>
      <c r="I177">
        <v>6.58</v>
      </c>
      <c r="J177">
        <v>7.27</v>
      </c>
    </row>
    <row r="178" spans="1:11" hidden="1" x14ac:dyDescent="0.25">
      <c r="A178">
        <v>8</v>
      </c>
      <c r="B178">
        <v>529</v>
      </c>
      <c r="C178" s="5"/>
      <c r="D178" s="5"/>
      <c r="E178" s="5" t="e">
        <f>$B178/#REF!</f>
        <v>#REF!</v>
      </c>
      <c r="F178" s="5" t="e">
        <f>$B178/#REF!</f>
        <v>#REF!</v>
      </c>
      <c r="G178">
        <v>6.11</v>
      </c>
      <c r="H178">
        <v>6.33</v>
      </c>
      <c r="I178">
        <v>6.44</v>
      </c>
      <c r="J178">
        <v>7.16</v>
      </c>
    </row>
    <row r="179" spans="1:11" hidden="1" x14ac:dyDescent="0.25">
      <c r="A179">
        <v>9</v>
      </c>
      <c r="B179">
        <v>647</v>
      </c>
      <c r="C179" s="5"/>
      <c r="D179" s="5"/>
      <c r="E179" s="5" t="e">
        <f>$B179/#REF!</f>
        <v>#REF!</v>
      </c>
      <c r="F179" s="5" t="e">
        <f>$B179/#REF!</f>
        <v>#REF!</v>
      </c>
      <c r="G179">
        <v>5.55</v>
      </c>
      <c r="H179">
        <v>6.19</v>
      </c>
      <c r="I179">
        <v>6.31</v>
      </c>
      <c r="J179">
        <v>7.06</v>
      </c>
    </row>
    <row r="180" spans="1:11" hidden="1" x14ac:dyDescent="0.25">
      <c r="A180">
        <v>10</v>
      </c>
      <c r="B180">
        <v>765</v>
      </c>
      <c r="C180" s="5"/>
      <c r="D180" s="5"/>
      <c r="E180" s="5" t="e">
        <f>$B180/#REF!</f>
        <v>#REF!</v>
      </c>
      <c r="F180" s="5" t="e">
        <f>$B180/#REF!</f>
        <v>#REF!</v>
      </c>
      <c r="G180">
        <v>5.39</v>
      </c>
      <c r="H180">
        <v>6.06</v>
      </c>
      <c r="I180">
        <v>6.19</v>
      </c>
      <c r="J180">
        <v>6.53</v>
      </c>
    </row>
    <row r="181" spans="1:11" hidden="1" x14ac:dyDescent="0.25">
      <c r="A181">
        <v>11</v>
      </c>
      <c r="B181">
        <v>888</v>
      </c>
      <c r="C181" s="5"/>
      <c r="D181" s="5"/>
      <c r="E181" s="5" t="e">
        <f>$B181/#REF!</f>
        <v>#REF!</v>
      </c>
      <c r="F181" s="5" t="e">
        <f>$B181/#REF!</f>
        <v>#REF!</v>
      </c>
      <c r="G181">
        <v>5.25</v>
      </c>
      <c r="H181">
        <v>5.53</v>
      </c>
      <c r="I181">
        <v>6.07</v>
      </c>
      <c r="J181">
        <v>6.49</v>
      </c>
    </row>
    <row r="182" spans="1:11" hidden="1" x14ac:dyDescent="0.25"/>
    <row r="183" spans="1:11" hidden="1" x14ac:dyDescent="0.25">
      <c r="A183" t="s">
        <v>135</v>
      </c>
      <c r="C183" s="5"/>
      <c r="D183" s="5"/>
      <c r="E183" s="5"/>
      <c r="F183" s="5"/>
      <c r="G183" s="7"/>
      <c r="H183" s="7"/>
      <c r="I183" s="7" t="s">
        <v>136</v>
      </c>
      <c r="J183" s="6" t="s">
        <v>137</v>
      </c>
      <c r="K183" s="38"/>
    </row>
    <row r="184" spans="1:11" hidden="1" x14ac:dyDescent="0.25">
      <c r="A184" t="s">
        <v>9</v>
      </c>
      <c r="C184" s="5"/>
      <c r="D184" s="5"/>
      <c r="E184" s="5" t="s">
        <v>138</v>
      </c>
      <c r="F184" s="5" t="s">
        <v>139</v>
      </c>
      <c r="G184" s="7" t="s">
        <v>140</v>
      </c>
      <c r="H184" s="7" t="s">
        <v>136</v>
      </c>
      <c r="I184" s="6">
        <v>424.93</v>
      </c>
      <c r="J184" s="6">
        <f>I184/0.9</f>
        <v>472.14444444444445</v>
      </c>
      <c r="K184" s="38"/>
    </row>
    <row r="185" spans="1:11" hidden="1" x14ac:dyDescent="0.25">
      <c r="A185" s="6" t="s">
        <v>12</v>
      </c>
      <c r="B185">
        <v>301</v>
      </c>
      <c r="C185" s="5"/>
      <c r="D185" s="5"/>
      <c r="E185" s="5" t="e">
        <f>$B185/#REF!</f>
        <v>#REF!</v>
      </c>
      <c r="F185" s="5" t="e">
        <f>$B185/#REF!</f>
        <v>#REF!</v>
      </c>
      <c r="G185">
        <v>9.0500000000000007</v>
      </c>
      <c r="H185">
        <v>9.19</v>
      </c>
      <c r="I185">
        <v>9.19</v>
      </c>
      <c r="J185">
        <v>9.4600000000000009</v>
      </c>
    </row>
    <row r="186" spans="1:11" hidden="1" x14ac:dyDescent="0.25">
      <c r="A186">
        <v>7</v>
      </c>
      <c r="B186">
        <v>413</v>
      </c>
      <c r="C186" s="5"/>
      <c r="D186" s="5"/>
      <c r="E186" s="5" t="e">
        <f>$B186/#REF!</f>
        <v>#REF!</v>
      </c>
      <c r="F186" s="5" t="e">
        <f>$B186/#REF!</f>
        <v>#REF!</v>
      </c>
      <c r="G186">
        <v>8.3000000000000007</v>
      </c>
      <c r="H186">
        <v>8.4600000000000009</v>
      </c>
      <c r="I186">
        <v>8.4600000000000009</v>
      </c>
      <c r="J186">
        <v>9.18</v>
      </c>
    </row>
    <row r="187" spans="1:11" hidden="1" x14ac:dyDescent="0.25">
      <c r="A187">
        <v>8</v>
      </c>
      <c r="B187">
        <v>529</v>
      </c>
      <c r="C187" s="5"/>
      <c r="D187" s="5"/>
      <c r="E187" s="5" t="e">
        <f>$B187/#REF!</f>
        <v>#REF!</v>
      </c>
      <c r="F187" s="5" t="e">
        <f>$B187/#REF!</f>
        <v>#REF!</v>
      </c>
      <c r="G187">
        <v>7.58</v>
      </c>
      <c r="H187">
        <v>8.17</v>
      </c>
      <c r="I187">
        <v>8.17</v>
      </c>
      <c r="J187">
        <v>8.5299999999999994</v>
      </c>
    </row>
    <row r="188" spans="1:11" hidden="1" x14ac:dyDescent="0.25">
      <c r="A188">
        <v>9</v>
      </c>
      <c r="B188">
        <v>647</v>
      </c>
      <c r="C188" s="5"/>
      <c r="D188" s="5"/>
      <c r="E188" s="5" t="e">
        <f>$B188/#REF!</f>
        <v>#REF!</v>
      </c>
      <c r="F188" s="5" t="e">
        <f>$B188/#REF!</f>
        <v>#REF!</v>
      </c>
      <c r="G188">
        <v>7.29</v>
      </c>
      <c r="H188">
        <v>7.5</v>
      </c>
      <c r="I188">
        <v>7.5</v>
      </c>
      <c r="J188">
        <v>8.3000000000000007</v>
      </c>
    </row>
    <row r="189" spans="1:11" hidden="1" x14ac:dyDescent="0.25">
      <c r="A189">
        <v>10</v>
      </c>
      <c r="B189">
        <v>765</v>
      </c>
      <c r="C189" s="5"/>
      <c r="D189" s="5"/>
      <c r="E189" s="5" t="e">
        <f>$B189/#REF!</f>
        <v>#REF!</v>
      </c>
      <c r="F189" s="5" t="e">
        <f>$B189/#REF!</f>
        <v>#REF!</v>
      </c>
      <c r="G189">
        <v>7.03</v>
      </c>
      <c r="H189">
        <v>7.25</v>
      </c>
      <c r="I189">
        <v>7.25</v>
      </c>
      <c r="J189">
        <v>8.1</v>
      </c>
    </row>
    <row r="190" spans="1:11" hidden="1" x14ac:dyDescent="0.25">
      <c r="A190">
        <v>11</v>
      </c>
      <c r="B190">
        <v>888</v>
      </c>
      <c r="C190" s="5"/>
      <c r="D190" s="5"/>
      <c r="E190" s="5" t="e">
        <f>$B190/#REF!</f>
        <v>#REF!</v>
      </c>
      <c r="F190" s="5" t="e">
        <f>$B190/#REF!</f>
        <v>#REF!</v>
      </c>
      <c r="G190">
        <v>6.38</v>
      </c>
      <c r="H190">
        <v>7.01</v>
      </c>
      <c r="I190">
        <v>7.01</v>
      </c>
      <c r="J190">
        <v>7.49</v>
      </c>
    </row>
    <row r="191" spans="1:11" hidden="1" x14ac:dyDescent="0.25"/>
    <row r="192" spans="1:11" hidden="1" x14ac:dyDescent="0.25">
      <c r="A192" t="s">
        <v>141</v>
      </c>
      <c r="C192" s="5"/>
      <c r="D192" s="5"/>
      <c r="E192" s="5"/>
      <c r="F192" s="5"/>
      <c r="G192" s="7"/>
      <c r="H192" s="7"/>
      <c r="I192" s="7" t="s">
        <v>142</v>
      </c>
      <c r="J192" s="6" t="s">
        <v>143</v>
      </c>
      <c r="K192" s="38"/>
    </row>
    <row r="193" spans="1:11" hidden="1" x14ac:dyDescent="0.25">
      <c r="A193" t="s">
        <v>9</v>
      </c>
      <c r="C193" s="5"/>
      <c r="D193" s="5"/>
      <c r="E193" s="5" t="s">
        <v>144</v>
      </c>
      <c r="F193" s="5" t="s">
        <v>145</v>
      </c>
      <c r="G193" s="7" t="s">
        <v>146</v>
      </c>
      <c r="H193" s="7" t="s">
        <v>147</v>
      </c>
      <c r="I193" s="7">
        <v>561.83000000000004</v>
      </c>
      <c r="J193" s="6">
        <f>I193/0.9</f>
        <v>624.25555555555559</v>
      </c>
      <c r="K193" s="38"/>
    </row>
    <row r="194" spans="1:11" hidden="1" x14ac:dyDescent="0.25">
      <c r="A194" s="6" t="s">
        <v>12</v>
      </c>
      <c r="B194">
        <v>301</v>
      </c>
      <c r="C194" s="5"/>
      <c r="D194" s="5"/>
      <c r="E194" s="5" t="e">
        <f>$B194/#REF!</f>
        <v>#REF!</v>
      </c>
      <c r="F194" s="5" t="e">
        <f>$B194/#REF!</f>
        <v>#REF!</v>
      </c>
      <c r="G194" s="6" t="s">
        <v>148</v>
      </c>
      <c r="H194" s="6" t="s">
        <v>149</v>
      </c>
      <c r="I194" s="6" t="s">
        <v>150</v>
      </c>
      <c r="J194" s="6" t="s">
        <v>151</v>
      </c>
      <c r="K194" s="38"/>
    </row>
    <row r="195" spans="1:11" hidden="1" x14ac:dyDescent="0.25">
      <c r="A195">
        <v>7</v>
      </c>
      <c r="B195">
        <v>413</v>
      </c>
      <c r="C195" s="5"/>
      <c r="D195" s="5"/>
      <c r="E195" s="5" t="e">
        <f>$B195/#REF!</f>
        <v>#REF!</v>
      </c>
      <c r="F195" s="5" t="e">
        <f>$B195/#REF!</f>
        <v>#REF!</v>
      </c>
      <c r="G195" s="6" t="s">
        <v>152</v>
      </c>
      <c r="H195" s="6" t="s">
        <v>153</v>
      </c>
      <c r="I195" s="6" t="s">
        <v>154</v>
      </c>
      <c r="J195" s="6" t="s">
        <v>155</v>
      </c>
      <c r="K195" s="38"/>
    </row>
    <row r="196" spans="1:11" hidden="1" x14ac:dyDescent="0.25">
      <c r="A196">
        <v>8</v>
      </c>
      <c r="B196">
        <v>529</v>
      </c>
      <c r="C196" s="5"/>
      <c r="D196" s="5"/>
      <c r="E196" s="5" t="e">
        <f>$B196/#REF!</f>
        <v>#REF!</v>
      </c>
      <c r="F196" s="5" t="e">
        <f>$B196/#REF!</f>
        <v>#REF!</v>
      </c>
      <c r="G196" s="6" t="s">
        <v>156</v>
      </c>
      <c r="H196" s="6" t="s">
        <v>157</v>
      </c>
      <c r="I196" s="6" t="s">
        <v>158</v>
      </c>
      <c r="J196" s="6" t="s">
        <v>159</v>
      </c>
      <c r="K196" s="38"/>
    </row>
    <row r="197" spans="1:11" hidden="1" x14ac:dyDescent="0.25">
      <c r="A197">
        <v>9</v>
      </c>
      <c r="B197">
        <v>647</v>
      </c>
      <c r="C197" s="5"/>
      <c r="D197" s="5"/>
      <c r="E197" s="5" t="e">
        <f>$B197/#REF!</f>
        <v>#REF!</v>
      </c>
      <c r="F197" s="5" t="e">
        <f>$B197/#REF!</f>
        <v>#REF!</v>
      </c>
      <c r="G197" s="6" t="s">
        <v>160</v>
      </c>
      <c r="H197" s="6" t="s">
        <v>161</v>
      </c>
      <c r="I197" s="6" t="s">
        <v>162</v>
      </c>
      <c r="J197" s="6" t="s">
        <v>163</v>
      </c>
      <c r="K197" s="38"/>
    </row>
    <row r="198" spans="1:11" hidden="1" x14ac:dyDescent="0.25">
      <c r="A198">
        <v>10</v>
      </c>
      <c r="B198">
        <v>765</v>
      </c>
      <c r="C198" s="5"/>
      <c r="D198" s="5"/>
      <c r="E198" s="5" t="e">
        <f>$B198/#REF!</f>
        <v>#REF!</v>
      </c>
      <c r="F198" s="5" t="e">
        <f>$B198/#REF!</f>
        <v>#REF!</v>
      </c>
      <c r="G198" s="6" t="s">
        <v>164</v>
      </c>
      <c r="H198" s="6" t="s">
        <v>165</v>
      </c>
      <c r="I198" s="6" t="s">
        <v>166</v>
      </c>
      <c r="J198" s="6" t="s">
        <v>167</v>
      </c>
      <c r="K198" s="38"/>
    </row>
    <row r="199" spans="1:11" hidden="1" x14ac:dyDescent="0.25">
      <c r="A199">
        <v>11</v>
      </c>
      <c r="B199">
        <v>888</v>
      </c>
      <c r="C199" s="5"/>
      <c r="D199" s="5"/>
      <c r="E199" s="5" t="e">
        <f>$B199/#REF!</f>
        <v>#REF!</v>
      </c>
      <c r="F199" s="5" t="e">
        <f>$B199/#REF!</f>
        <v>#REF!</v>
      </c>
      <c r="G199" s="6" t="s">
        <v>168</v>
      </c>
      <c r="H199" s="6" t="s">
        <v>169</v>
      </c>
      <c r="I199" s="6" t="s">
        <v>170</v>
      </c>
      <c r="J199" s="6" t="s">
        <v>171</v>
      </c>
      <c r="K199" s="38"/>
    </row>
    <row r="200" spans="1:11" hidden="1" x14ac:dyDescent="0.25"/>
    <row r="201" spans="1:11" hidden="1" x14ac:dyDescent="0.25">
      <c r="A201" t="s">
        <v>172</v>
      </c>
      <c r="C201" s="5"/>
      <c r="D201" s="5"/>
      <c r="E201" s="5"/>
      <c r="F201" s="5"/>
      <c r="G201" s="7"/>
      <c r="H201" s="7"/>
      <c r="I201" s="7" t="s">
        <v>173</v>
      </c>
      <c r="J201" s="6" t="s">
        <v>174</v>
      </c>
      <c r="K201" s="38"/>
    </row>
    <row r="202" spans="1:11" hidden="1" x14ac:dyDescent="0.25">
      <c r="A202" t="s">
        <v>9</v>
      </c>
      <c r="C202" s="5"/>
      <c r="D202" s="5"/>
      <c r="E202" s="5" t="s">
        <v>175</v>
      </c>
      <c r="F202" s="5" t="s">
        <v>176</v>
      </c>
      <c r="G202" s="7" t="s">
        <v>177</v>
      </c>
      <c r="H202" s="7" t="s">
        <v>173</v>
      </c>
      <c r="I202" s="7">
        <v>654.97</v>
      </c>
      <c r="J202" s="6">
        <f>I202/0.9</f>
        <v>727.74444444444441</v>
      </c>
      <c r="K202" s="38"/>
    </row>
    <row r="203" spans="1:11" hidden="1" x14ac:dyDescent="0.25">
      <c r="A203" s="6" t="s">
        <v>12</v>
      </c>
      <c r="B203">
        <v>301</v>
      </c>
      <c r="C203" s="5"/>
      <c r="D203" s="5"/>
      <c r="E203" s="5" t="e">
        <f>$B203/#REF!</f>
        <v>#REF!</v>
      </c>
      <c r="F203" s="5" t="e">
        <f>$B203/#REF!</f>
        <v>#REF!</v>
      </c>
      <c r="G203">
        <v>14.11</v>
      </c>
      <c r="H203">
        <v>14.9</v>
      </c>
      <c r="I203">
        <v>14.9</v>
      </c>
      <c r="J203">
        <v>15.92</v>
      </c>
    </row>
    <row r="204" spans="1:11" hidden="1" x14ac:dyDescent="0.25">
      <c r="A204">
        <v>7</v>
      </c>
      <c r="B204">
        <v>413</v>
      </c>
      <c r="C204" s="5"/>
      <c r="D204" s="5"/>
      <c r="E204" s="5" t="e">
        <f>$B204/#REF!</f>
        <v>#REF!</v>
      </c>
      <c r="F204" s="5" t="e">
        <f>$B204/#REF!</f>
        <v>#REF!</v>
      </c>
      <c r="G204">
        <v>13.1</v>
      </c>
      <c r="H204">
        <v>13.45</v>
      </c>
      <c r="I204">
        <v>13.45</v>
      </c>
      <c r="J204">
        <v>14.35</v>
      </c>
    </row>
    <row r="205" spans="1:11" hidden="1" x14ac:dyDescent="0.25">
      <c r="A205">
        <v>8</v>
      </c>
      <c r="B205">
        <v>529</v>
      </c>
      <c r="C205" s="5"/>
      <c r="D205" s="5"/>
      <c r="E205" s="5" t="e">
        <f>$B205/#REF!</f>
        <v>#REF!</v>
      </c>
      <c r="F205" s="5" t="e">
        <f>$B205/#REF!</f>
        <v>#REF!</v>
      </c>
      <c r="G205">
        <v>12.17</v>
      </c>
      <c r="H205">
        <v>12.55</v>
      </c>
      <c r="I205">
        <v>12.55</v>
      </c>
      <c r="J205">
        <v>13.52</v>
      </c>
    </row>
    <row r="206" spans="1:11" hidden="1" x14ac:dyDescent="0.25">
      <c r="A206">
        <v>9</v>
      </c>
      <c r="B206">
        <v>647</v>
      </c>
      <c r="C206" s="5"/>
      <c r="D206" s="5"/>
      <c r="E206" s="5" t="e">
        <f>$B206/#REF!</f>
        <v>#REF!</v>
      </c>
      <c r="F206" s="5" t="e">
        <f>$B206/#REF!</f>
        <v>#REF!</v>
      </c>
      <c r="G206">
        <v>11.27</v>
      </c>
      <c r="H206">
        <v>12.1</v>
      </c>
      <c r="I206">
        <v>12.1</v>
      </c>
      <c r="J206">
        <v>13.13</v>
      </c>
    </row>
    <row r="207" spans="1:11" hidden="1" x14ac:dyDescent="0.25">
      <c r="A207">
        <v>10</v>
      </c>
      <c r="B207">
        <v>765</v>
      </c>
      <c r="C207" s="5"/>
      <c r="D207" s="5"/>
      <c r="E207" s="5" t="e">
        <f>$B207/#REF!</f>
        <v>#REF!</v>
      </c>
      <c r="F207" s="5" t="e">
        <f>$B207/#REF!</f>
        <v>#REF!</v>
      </c>
      <c r="G207">
        <v>10.43</v>
      </c>
      <c r="H207">
        <v>11.29</v>
      </c>
      <c r="I207">
        <v>11.29</v>
      </c>
      <c r="J207">
        <v>12.38</v>
      </c>
    </row>
    <row r="208" spans="1:11" hidden="1" x14ac:dyDescent="0.25">
      <c r="A208">
        <v>11</v>
      </c>
      <c r="B208">
        <v>888</v>
      </c>
      <c r="C208" s="5"/>
      <c r="D208" s="5"/>
      <c r="E208" s="5" t="e">
        <f>$B208/#REF!</f>
        <v>#REF!</v>
      </c>
      <c r="F208" s="5" t="e">
        <f>$B208/#REF!</f>
        <v>#REF!</v>
      </c>
      <c r="G208">
        <v>10</v>
      </c>
      <c r="H208">
        <v>10.5</v>
      </c>
      <c r="I208">
        <v>10.5</v>
      </c>
      <c r="J208">
        <v>12.03</v>
      </c>
    </row>
    <row r="209" spans="1:14" hidden="1" x14ac:dyDescent="0.25"/>
    <row r="210" spans="1:14" hidden="1" x14ac:dyDescent="0.25">
      <c r="A210" t="s">
        <v>178</v>
      </c>
      <c r="C210" s="5"/>
      <c r="D210" s="5"/>
      <c r="E210" s="5"/>
      <c r="F210" s="5"/>
      <c r="G210" s="5"/>
      <c r="H210" s="5"/>
      <c r="I210" s="5" t="s">
        <v>14</v>
      </c>
      <c r="J210" t="s">
        <v>14</v>
      </c>
    </row>
    <row r="211" spans="1:14" hidden="1" x14ac:dyDescent="0.25">
      <c r="A211" t="s">
        <v>9</v>
      </c>
      <c r="C211" s="5"/>
      <c r="D211" s="5"/>
      <c r="G211" s="7" t="s">
        <v>179</v>
      </c>
      <c r="H211" s="7" t="s">
        <v>180</v>
      </c>
      <c r="I211" s="6" t="s">
        <v>181</v>
      </c>
      <c r="J211" s="6" t="s">
        <v>182</v>
      </c>
      <c r="K211" s="38"/>
    </row>
    <row r="212" spans="1:14" hidden="1" x14ac:dyDescent="0.25">
      <c r="A212" s="6" t="s">
        <v>12</v>
      </c>
      <c r="B212">
        <v>301</v>
      </c>
      <c r="C212" s="5"/>
      <c r="D212" s="5"/>
      <c r="G212">
        <v>11.53</v>
      </c>
      <c r="H212">
        <v>12.03</v>
      </c>
      <c r="I212">
        <v>12.18</v>
      </c>
      <c r="J212">
        <v>13.07</v>
      </c>
    </row>
    <row r="213" spans="1:14" hidden="1" x14ac:dyDescent="0.25">
      <c r="A213">
        <v>7</v>
      </c>
      <c r="B213">
        <v>413</v>
      </c>
      <c r="C213" s="5"/>
      <c r="D213" s="5"/>
      <c r="G213">
        <v>11.2</v>
      </c>
      <c r="H213">
        <v>11.32</v>
      </c>
      <c r="I213">
        <v>11.5</v>
      </c>
      <c r="J213">
        <v>12.47</v>
      </c>
    </row>
    <row r="214" spans="1:14" hidden="1" x14ac:dyDescent="0.25">
      <c r="A214">
        <v>8</v>
      </c>
      <c r="B214">
        <v>529</v>
      </c>
      <c r="C214" s="5"/>
      <c r="D214" s="5"/>
      <c r="G214">
        <v>10.5</v>
      </c>
      <c r="H214">
        <v>11.04</v>
      </c>
      <c r="I214">
        <v>11.23</v>
      </c>
      <c r="J214">
        <v>12.28</v>
      </c>
    </row>
    <row r="215" spans="1:14" hidden="1" x14ac:dyDescent="0.25">
      <c r="A215">
        <v>9</v>
      </c>
      <c r="B215">
        <v>647</v>
      </c>
      <c r="C215" s="5"/>
      <c r="D215" s="5"/>
      <c r="G215">
        <v>10.23</v>
      </c>
      <c r="H215">
        <v>10.25</v>
      </c>
      <c r="I215">
        <v>11</v>
      </c>
      <c r="J215">
        <v>12.12</v>
      </c>
    </row>
    <row r="216" spans="1:14" hidden="1" x14ac:dyDescent="0.25">
      <c r="A216">
        <v>10</v>
      </c>
      <c r="B216">
        <v>765</v>
      </c>
      <c r="C216" s="5"/>
      <c r="D216" s="5"/>
      <c r="G216">
        <v>9.59</v>
      </c>
      <c r="H216">
        <v>10.15</v>
      </c>
      <c r="I216">
        <v>10.39</v>
      </c>
      <c r="J216">
        <v>11.57</v>
      </c>
      <c r="N216" t="s">
        <v>183</v>
      </c>
    </row>
    <row r="217" spans="1:14" hidden="1" x14ac:dyDescent="0.25">
      <c r="A217">
        <v>11</v>
      </c>
      <c r="B217">
        <v>888</v>
      </c>
      <c r="C217" s="5"/>
      <c r="D217" s="5"/>
      <c r="G217">
        <v>9.35</v>
      </c>
      <c r="H217">
        <v>9.52</v>
      </c>
      <c r="I217">
        <v>10.18</v>
      </c>
      <c r="J217">
        <v>11.42</v>
      </c>
    </row>
    <row r="218" spans="1:14" hidden="1" x14ac:dyDescent="0.25"/>
    <row r="219" spans="1:14" hidden="1" x14ac:dyDescent="0.25">
      <c r="A219" t="s">
        <v>184</v>
      </c>
      <c r="C219" s="5"/>
      <c r="D219" s="5"/>
      <c r="E219" s="5"/>
      <c r="F219" s="5"/>
      <c r="G219" s="5"/>
      <c r="H219" s="5"/>
      <c r="I219" s="5"/>
    </row>
    <row r="220" spans="1:14" hidden="1" x14ac:dyDescent="0.25">
      <c r="A220" t="s">
        <v>9</v>
      </c>
      <c r="C220" s="5"/>
      <c r="D220" s="5"/>
      <c r="E220" s="5"/>
      <c r="F220" s="5"/>
      <c r="G220" s="7" t="s">
        <v>185</v>
      </c>
      <c r="H220" s="7" t="s">
        <v>186</v>
      </c>
      <c r="I220" s="6" t="s">
        <v>187</v>
      </c>
      <c r="J220" s="6" t="s">
        <v>188</v>
      </c>
      <c r="K220" s="38"/>
    </row>
    <row r="221" spans="1:14" hidden="1" x14ac:dyDescent="0.25">
      <c r="A221" s="6" t="s">
        <v>12</v>
      </c>
      <c r="B221">
        <v>301</v>
      </c>
      <c r="C221" s="5"/>
      <c r="D221" s="5"/>
      <c r="E221" s="5"/>
      <c r="F221" s="5"/>
      <c r="G221">
        <v>15.53</v>
      </c>
      <c r="H221">
        <v>16.3</v>
      </c>
      <c r="I221">
        <v>16.45</v>
      </c>
      <c r="J221" s="6" t="s">
        <v>189</v>
      </c>
      <c r="K221" s="38"/>
    </row>
    <row r="222" spans="1:14" hidden="1" x14ac:dyDescent="0.25">
      <c r="A222">
        <v>7</v>
      </c>
      <c r="B222">
        <v>413</v>
      </c>
      <c r="C222" s="5"/>
      <c r="D222" s="5"/>
      <c r="E222" s="5"/>
      <c r="F222" s="5"/>
      <c r="G222">
        <v>14.54</v>
      </c>
      <c r="H222">
        <v>15.47</v>
      </c>
      <c r="I222">
        <v>16.010000000000002</v>
      </c>
      <c r="J222" s="6" t="s">
        <v>190</v>
      </c>
      <c r="K222" s="38"/>
    </row>
    <row r="223" spans="1:14" hidden="1" x14ac:dyDescent="0.25">
      <c r="A223">
        <v>8</v>
      </c>
      <c r="B223">
        <v>529</v>
      </c>
      <c r="C223" s="5"/>
      <c r="D223" s="5"/>
      <c r="E223" s="5"/>
      <c r="F223" s="5"/>
      <c r="G223">
        <v>14.01</v>
      </c>
      <c r="H223">
        <v>15.01</v>
      </c>
      <c r="I223">
        <v>15.16</v>
      </c>
      <c r="J223" s="6" t="s">
        <v>191</v>
      </c>
      <c r="K223" s="38"/>
    </row>
    <row r="224" spans="1:14" hidden="1" x14ac:dyDescent="0.25">
      <c r="A224">
        <v>9</v>
      </c>
      <c r="B224">
        <v>647</v>
      </c>
      <c r="C224" s="5"/>
      <c r="D224" s="5"/>
      <c r="E224" s="5"/>
      <c r="F224" s="5"/>
      <c r="G224">
        <v>13.12</v>
      </c>
      <c r="H224">
        <v>14.19</v>
      </c>
      <c r="I224">
        <v>14.36</v>
      </c>
      <c r="J224" s="6" t="s">
        <v>192</v>
      </c>
      <c r="K224" s="38"/>
    </row>
    <row r="225" spans="1:26" hidden="1" x14ac:dyDescent="0.25">
      <c r="A225">
        <v>10</v>
      </c>
      <c r="B225">
        <v>765</v>
      </c>
      <c r="C225" s="5"/>
      <c r="D225" s="5"/>
      <c r="E225" s="5"/>
      <c r="F225" s="5"/>
      <c r="G225">
        <v>12.28</v>
      </c>
      <c r="H225">
        <v>13.41</v>
      </c>
      <c r="I225">
        <v>13.59</v>
      </c>
      <c r="J225" s="6" t="s">
        <v>193</v>
      </c>
      <c r="K225" s="38"/>
    </row>
    <row r="226" spans="1:26" hidden="1" x14ac:dyDescent="0.25">
      <c r="A226">
        <v>11</v>
      </c>
      <c r="B226">
        <v>888</v>
      </c>
      <c r="C226" s="5"/>
      <c r="D226" s="5"/>
      <c r="E226" s="5"/>
      <c r="F226" s="5"/>
      <c r="G226">
        <v>11.46</v>
      </c>
      <c r="H226">
        <v>13.04</v>
      </c>
      <c r="I226">
        <v>13.24</v>
      </c>
      <c r="J226" s="6" t="s">
        <v>194</v>
      </c>
      <c r="K226" s="38"/>
    </row>
    <row r="227" spans="1:26" hidden="1" x14ac:dyDescent="0.25"/>
    <row r="228" spans="1:26" hidden="1" x14ac:dyDescent="0.25"/>
    <row r="229" spans="1:26" hidden="1" x14ac:dyDescent="0.25"/>
    <row r="230" spans="1:26" hidden="1" x14ac:dyDescent="0.25"/>
    <row r="231" spans="1:26" hidden="1" x14ac:dyDescent="0.25"/>
    <row r="232" spans="1:26" hidden="1" x14ac:dyDescent="0.25"/>
    <row r="233" spans="1:26" ht="6" customHeight="1" x14ac:dyDescent="0.25">
      <c r="A233" s="3"/>
      <c r="B233" s="3" t="s">
        <v>5</v>
      </c>
      <c r="C233" s="3" t="s">
        <v>6</v>
      </c>
      <c r="D233" s="3" t="s">
        <v>7</v>
      </c>
      <c r="K233" s="34"/>
      <c r="L233" s="28"/>
    </row>
    <row r="234" spans="1:26" x14ac:dyDescent="0.25">
      <c r="A234" s="3"/>
      <c r="B234" s="3"/>
      <c r="C234" s="3"/>
      <c r="D234" s="3"/>
      <c r="K234" s="34"/>
      <c r="L234" s="28"/>
    </row>
    <row r="235" spans="1:26" x14ac:dyDescent="0.25">
      <c r="A235" s="51"/>
      <c r="B235" s="52"/>
      <c r="C235" s="52"/>
      <c r="D235" s="52"/>
      <c r="E235" s="52"/>
      <c r="F235" s="52"/>
      <c r="G235" s="52"/>
      <c r="H235" s="51" t="s">
        <v>273</v>
      </c>
      <c r="I235" s="52"/>
      <c r="J235" s="52"/>
      <c r="K235" s="54"/>
      <c r="L235" s="55"/>
      <c r="M235" s="56"/>
      <c r="N235" s="56"/>
      <c r="O235" s="56"/>
      <c r="P235" s="56"/>
      <c r="Q235" s="56"/>
      <c r="R235" s="53" t="s">
        <v>274</v>
      </c>
      <c r="S235" s="56"/>
      <c r="T235" s="56"/>
      <c r="U235" s="56"/>
      <c r="V235" s="56"/>
      <c r="W235" s="56"/>
      <c r="X235" s="57"/>
    </row>
    <row r="236" spans="1:26" x14ac:dyDescent="0.25">
      <c r="A236" s="65"/>
      <c r="B236" s="2"/>
      <c r="C236" s="2"/>
      <c r="D236" s="2"/>
      <c r="E236" s="26"/>
      <c r="F236" s="26"/>
      <c r="G236" s="26"/>
      <c r="H236" s="26"/>
      <c r="I236" s="26"/>
      <c r="J236" s="26"/>
      <c r="K236" s="3"/>
      <c r="L236" s="58"/>
      <c r="X236" s="33"/>
    </row>
    <row r="237" spans="1:26" x14ac:dyDescent="0.25">
      <c r="A237" s="66"/>
      <c r="B237" s="26"/>
      <c r="C237" s="26"/>
      <c r="D237" s="26"/>
      <c r="E237" s="26"/>
      <c r="F237" s="26"/>
      <c r="G237" s="2" t="s">
        <v>4</v>
      </c>
      <c r="H237" s="2" t="s">
        <v>5</v>
      </c>
      <c r="I237" s="2" t="s">
        <v>6</v>
      </c>
      <c r="J237" s="2" t="s">
        <v>7</v>
      </c>
      <c r="K237" s="3" t="s">
        <v>244</v>
      </c>
      <c r="L237" s="58" t="s">
        <v>265</v>
      </c>
      <c r="M237" s="15" t="s">
        <v>243</v>
      </c>
      <c r="N237" s="15" t="s">
        <v>233</v>
      </c>
      <c r="O237" s="15" t="s">
        <v>232</v>
      </c>
      <c r="P237" s="15" t="s">
        <v>234</v>
      </c>
      <c r="Q237" s="15" t="s">
        <v>235</v>
      </c>
      <c r="R237" s="15" t="s">
        <v>236</v>
      </c>
      <c r="S237" s="15" t="s">
        <v>237</v>
      </c>
      <c r="T237" s="15" t="s">
        <v>238</v>
      </c>
      <c r="U237" s="15" t="s">
        <v>239</v>
      </c>
      <c r="V237" s="15" t="s">
        <v>240</v>
      </c>
      <c r="W237" s="15" t="s">
        <v>241</v>
      </c>
      <c r="X237" s="42" t="s">
        <v>242</v>
      </c>
      <c r="Y237" s="15"/>
      <c r="Z237" s="15"/>
    </row>
    <row r="238" spans="1:26" ht="14.4" x14ac:dyDescent="0.3">
      <c r="A238" s="71" t="s">
        <v>261</v>
      </c>
      <c r="B238" s="26"/>
      <c r="C238" s="67"/>
      <c r="D238" s="67"/>
      <c r="E238" s="67"/>
      <c r="F238" s="67"/>
      <c r="G238" s="67"/>
      <c r="H238" s="67"/>
      <c r="I238" s="67"/>
      <c r="J238" s="26"/>
      <c r="K238"/>
      <c r="L238" s="59" t="s">
        <v>275</v>
      </c>
      <c r="M238" s="48"/>
      <c r="N238" s="49">
        <v>0.96509999999999996</v>
      </c>
      <c r="O238" s="49">
        <v>0.93020000000000003</v>
      </c>
      <c r="P238" s="49">
        <v>0.89529999999999998</v>
      </c>
      <c r="Q238" s="49">
        <v>0.86040000000000005</v>
      </c>
      <c r="R238" s="49">
        <v>0.82550000000000001</v>
      </c>
      <c r="S238" s="49">
        <v>0.78920000000000001</v>
      </c>
      <c r="T238" s="49">
        <v>0.748</v>
      </c>
      <c r="U238" s="49">
        <v>0.69779999999999998</v>
      </c>
      <c r="V238" s="49">
        <v>0.63380000000000003</v>
      </c>
      <c r="W238" s="49">
        <v>0.55049999999999999</v>
      </c>
      <c r="X238" s="50">
        <v>0.44169999999999998</v>
      </c>
      <c r="Y238" s="13"/>
      <c r="Z238" s="13"/>
    </row>
    <row r="239" spans="1:26" ht="6" customHeight="1" x14ac:dyDescent="0.3">
      <c r="A239" s="66"/>
      <c r="B239" s="26"/>
      <c r="C239" s="67"/>
      <c r="D239" s="67"/>
      <c r="E239" s="67"/>
      <c r="F239" s="67"/>
      <c r="G239" s="67"/>
      <c r="H239" s="67"/>
      <c r="I239" s="67"/>
      <c r="J239" s="26"/>
      <c r="K239"/>
      <c r="L239" s="60"/>
      <c r="N239" s="13"/>
      <c r="O239" s="13"/>
      <c r="P239" s="13"/>
      <c r="Q239" s="13"/>
      <c r="R239" s="13"/>
      <c r="S239" s="13"/>
      <c r="T239" s="13"/>
      <c r="U239" s="13"/>
      <c r="V239" s="13"/>
      <c r="W239" s="13"/>
      <c r="X239" s="43"/>
      <c r="Y239" s="20"/>
      <c r="Z239" s="13"/>
    </row>
    <row r="240" spans="1:26" x14ac:dyDescent="0.25">
      <c r="A240" s="66" t="s">
        <v>12</v>
      </c>
      <c r="B240" s="26">
        <v>301</v>
      </c>
      <c r="C240" s="67"/>
      <c r="D240" s="67"/>
      <c r="E240" s="67"/>
      <c r="F240" s="67"/>
      <c r="G240" s="67">
        <v>18.3</v>
      </c>
      <c r="H240" s="67">
        <v>19.22</v>
      </c>
      <c r="I240" s="26">
        <v>19.32</v>
      </c>
      <c r="J240" s="26">
        <v>20.27</v>
      </c>
      <c r="K240"/>
      <c r="L240" s="27">
        <v>1.3</v>
      </c>
      <c r="M240" s="16">
        <f t="shared" ref="M240:M244" si="15">M$247*L240</f>
        <v>1.3236226851851853E-2</v>
      </c>
      <c r="N240" s="12">
        <f t="shared" ref="N240:X240" si="16">$M240/N$238</f>
        <v>1.3714876025128851E-2</v>
      </c>
      <c r="O240" s="12">
        <f t="shared" si="16"/>
        <v>1.4229441896207109E-2</v>
      </c>
      <c r="P240" s="12">
        <f t="shared" si="16"/>
        <v>1.4784124708870605E-2</v>
      </c>
      <c r="Q240" s="12">
        <f t="shared" si="16"/>
        <v>1.5383806196945436E-2</v>
      </c>
      <c r="R240" s="12">
        <f t="shared" si="16"/>
        <v>1.6034193642461361E-2</v>
      </c>
      <c r="S240" s="12">
        <f t="shared" si="16"/>
        <v>1.6771701535544668E-2</v>
      </c>
      <c r="T240" s="12">
        <f t="shared" si="16"/>
        <v>1.769549044365221E-2</v>
      </c>
      <c r="U240" s="12">
        <f t="shared" si="16"/>
        <v>1.8968510822372962E-2</v>
      </c>
      <c r="V240" s="46">
        <f t="shared" si="16"/>
        <v>2.0883917405888061E-2</v>
      </c>
      <c r="W240" s="12">
        <f t="shared" si="16"/>
        <v>2.4044008813536518E-2</v>
      </c>
      <c r="X240" s="44">
        <f t="shared" si="16"/>
        <v>2.9966553886918393E-2</v>
      </c>
      <c r="Y240" s="20"/>
      <c r="Z240" s="12"/>
    </row>
    <row r="241" spans="1:26" x14ac:dyDescent="0.25">
      <c r="A241" s="66">
        <v>7</v>
      </c>
      <c r="B241" s="26">
        <v>413</v>
      </c>
      <c r="C241" s="67"/>
      <c r="D241" s="67"/>
      <c r="E241" s="67"/>
      <c r="F241" s="67"/>
      <c r="G241" s="67">
        <v>17.34</v>
      </c>
      <c r="H241" s="67">
        <v>18.34</v>
      </c>
      <c r="I241" s="26">
        <v>18.46</v>
      </c>
      <c r="J241" s="26">
        <v>19.510000000000002</v>
      </c>
      <c r="K241"/>
      <c r="L241" s="27">
        <v>1.22</v>
      </c>
      <c r="M241" s="16">
        <f t="shared" si="15"/>
        <v>1.2421689814814816E-2</v>
      </c>
      <c r="N241" s="12">
        <f t="shared" ref="N241:N245" si="17">$M241/N$238</f>
        <v>1.2870883654351691E-2</v>
      </c>
      <c r="O241" s="12">
        <f t="shared" ref="O241:X245" si="18">$M241/O$238</f>
        <v>1.3353783933363594E-2</v>
      </c>
      <c r="P241" s="12">
        <f t="shared" si="18"/>
        <v>1.3874332419093954E-2</v>
      </c>
      <c r="Q241" s="12">
        <f t="shared" si="18"/>
        <v>1.4437110430979562E-2</v>
      </c>
      <c r="R241" s="12">
        <f t="shared" si="18"/>
        <v>1.5047474033694507E-2</v>
      </c>
      <c r="S241" s="12">
        <f t="shared" si="18"/>
        <v>1.5739596825664996E-2</v>
      </c>
      <c r="T241" s="12">
        <f t="shared" si="18"/>
        <v>1.6606537185581305E-2</v>
      </c>
      <c r="U241" s="46">
        <f t="shared" si="18"/>
        <v>1.7801217848688471E-2</v>
      </c>
      <c r="V241" s="12">
        <f t="shared" si="18"/>
        <v>1.9598753257833411E-2</v>
      </c>
      <c r="W241" s="12">
        <f t="shared" si="18"/>
        <v>2.2564377501934272E-2</v>
      </c>
      <c r="X241" s="44">
        <f t="shared" si="18"/>
        <v>2.8122458263108028E-2</v>
      </c>
      <c r="Y241" s="20"/>
      <c r="Z241" s="20"/>
    </row>
    <row r="242" spans="1:26" x14ac:dyDescent="0.25">
      <c r="A242" s="66">
        <v>8</v>
      </c>
      <c r="B242" s="26">
        <v>529</v>
      </c>
      <c r="C242" s="67"/>
      <c r="D242" s="67"/>
      <c r="E242" s="67"/>
      <c r="F242" s="67"/>
      <c r="G242" s="67">
        <v>16.43</v>
      </c>
      <c r="H242" s="67">
        <v>17.510000000000002</v>
      </c>
      <c r="I242" s="26">
        <v>18.05</v>
      </c>
      <c r="J242" s="26">
        <v>19.18</v>
      </c>
      <c r="K242"/>
      <c r="L242" s="27">
        <v>1.1499999999999999</v>
      </c>
      <c r="M242" s="16">
        <f t="shared" si="15"/>
        <v>1.1708969907407408E-2</v>
      </c>
      <c r="N242" s="12">
        <f t="shared" si="17"/>
        <v>1.2132390329921675E-2</v>
      </c>
      <c r="O242" s="12">
        <f t="shared" si="18"/>
        <v>1.2587583215875518E-2</v>
      </c>
      <c r="P242" s="12">
        <f t="shared" si="18"/>
        <v>1.3078264165539382E-2</v>
      </c>
      <c r="Q242" s="12">
        <f t="shared" si="18"/>
        <v>1.3608751635759421E-2</v>
      </c>
      <c r="R242" s="12">
        <f t="shared" si="18"/>
        <v>1.418409437602351E-2</v>
      </c>
      <c r="S242" s="12">
        <f t="shared" si="18"/>
        <v>1.4836505204520282E-2</v>
      </c>
      <c r="T242" s="12">
        <f t="shared" si="18"/>
        <v>1.5653703084769263E-2</v>
      </c>
      <c r="U242" s="12">
        <f t="shared" si="18"/>
        <v>1.6779836496714544E-2</v>
      </c>
      <c r="V242" s="12">
        <f t="shared" si="18"/>
        <v>1.8474234628285589E-2</v>
      </c>
      <c r="W242" s="12">
        <f t="shared" si="18"/>
        <v>2.1269700104282304E-2</v>
      </c>
      <c r="X242" s="44">
        <f t="shared" si="18"/>
        <v>2.6508874592273961E-2</v>
      </c>
      <c r="Y242" s="20"/>
      <c r="Z242" s="12"/>
    </row>
    <row r="243" spans="1:26" x14ac:dyDescent="0.25">
      <c r="A243" s="66">
        <v>9</v>
      </c>
      <c r="B243" s="26">
        <v>647</v>
      </c>
      <c r="C243" s="67"/>
      <c r="D243" s="67"/>
      <c r="E243" s="67"/>
      <c r="F243" s="67"/>
      <c r="G243" s="67">
        <v>15.57</v>
      </c>
      <c r="H243" s="67">
        <v>17.12</v>
      </c>
      <c r="I243" s="26">
        <v>17.27</v>
      </c>
      <c r="J243" s="26">
        <v>18.48</v>
      </c>
      <c r="K243"/>
      <c r="L243" s="27">
        <v>1.0900000000000001</v>
      </c>
      <c r="M243" s="16">
        <f t="shared" si="15"/>
        <v>1.1098067129629631E-2</v>
      </c>
      <c r="N243" s="46">
        <f t="shared" si="17"/>
        <v>1.1499396051838806E-2</v>
      </c>
      <c r="O243" s="12">
        <f t="shared" si="18"/>
        <v>1.1930839743742884E-2</v>
      </c>
      <c r="P243" s="12">
        <f t="shared" si="18"/>
        <v>1.2395919948206893E-2</v>
      </c>
      <c r="Q243" s="12">
        <f t="shared" si="18"/>
        <v>1.2898729811285019E-2</v>
      </c>
      <c r="R243" s="12">
        <f t="shared" si="18"/>
        <v>1.3444054669448372E-2</v>
      </c>
      <c r="S243" s="12">
        <f t="shared" si="18"/>
        <v>1.4062426672110532E-2</v>
      </c>
      <c r="T243" s="46">
        <f t="shared" si="18"/>
        <v>1.4836988141216085E-2</v>
      </c>
      <c r="U243" s="12">
        <f t="shared" si="18"/>
        <v>1.5904366766451176E-2</v>
      </c>
      <c r="V243" s="12">
        <f t="shared" si="18"/>
        <v>1.7510361517244607E-2</v>
      </c>
      <c r="W243" s="12">
        <f t="shared" si="18"/>
        <v>2.0159976620580621E-2</v>
      </c>
      <c r="X243" s="44">
        <f t="shared" si="18"/>
        <v>2.5125802874416191E-2</v>
      </c>
      <c r="Y243" s="20"/>
      <c r="Z243" s="12"/>
    </row>
    <row r="244" spans="1:26" x14ac:dyDescent="0.25">
      <c r="A244" s="66">
        <v>10</v>
      </c>
      <c r="B244" s="26">
        <v>765</v>
      </c>
      <c r="C244" s="67"/>
      <c r="D244" s="67"/>
      <c r="E244" s="67"/>
      <c r="F244" s="67"/>
      <c r="G244" s="67">
        <v>15.15</v>
      </c>
      <c r="H244" s="67">
        <v>16.37</v>
      </c>
      <c r="I244" s="26">
        <v>16.53</v>
      </c>
      <c r="J244" s="26">
        <v>18.21</v>
      </c>
      <c r="K244"/>
      <c r="L244" s="27">
        <v>1.04</v>
      </c>
      <c r="M244" s="16">
        <f t="shared" si="15"/>
        <v>1.0588981481481482E-2</v>
      </c>
      <c r="N244" s="12">
        <f t="shared" si="17"/>
        <v>1.0971900820103081E-2</v>
      </c>
      <c r="O244" s="46">
        <f t="shared" si="18"/>
        <v>1.1383553516965687E-2</v>
      </c>
      <c r="P244" s="12">
        <f t="shared" si="18"/>
        <v>1.1827299767096485E-2</v>
      </c>
      <c r="Q244" s="12">
        <f t="shared" si="18"/>
        <v>1.2307044957556348E-2</v>
      </c>
      <c r="R244" s="12">
        <f t="shared" si="18"/>
        <v>1.2827354913969087E-2</v>
      </c>
      <c r="S244" s="46">
        <f t="shared" si="18"/>
        <v>1.3417361228435735E-2</v>
      </c>
      <c r="T244" s="12">
        <f t="shared" si="18"/>
        <v>1.4156392354921768E-2</v>
      </c>
      <c r="U244" s="12">
        <f t="shared" si="18"/>
        <v>1.5174808657898369E-2</v>
      </c>
      <c r="V244" s="12">
        <f t="shared" si="18"/>
        <v>1.6707133924710446E-2</v>
      </c>
      <c r="W244" s="12">
        <f t="shared" si="18"/>
        <v>1.9235207050829213E-2</v>
      </c>
      <c r="X244" s="44">
        <f t="shared" si="18"/>
        <v>2.3973243109534713E-2</v>
      </c>
      <c r="Y244" s="20"/>
      <c r="Z244" s="12"/>
    </row>
    <row r="245" spans="1:26" x14ac:dyDescent="0.25">
      <c r="A245" s="66">
        <v>11</v>
      </c>
      <c r="B245" s="26">
        <v>888</v>
      </c>
      <c r="C245" s="67"/>
      <c r="D245" s="67"/>
      <c r="E245" s="67"/>
      <c r="F245" s="67"/>
      <c r="G245" s="67">
        <v>14.34</v>
      </c>
      <c r="H245" s="67">
        <v>16.02</v>
      </c>
      <c r="I245" s="26">
        <v>16.2</v>
      </c>
      <c r="J245" s="26">
        <v>17.55</v>
      </c>
      <c r="K245" s="16"/>
      <c r="L245" s="27">
        <v>1</v>
      </c>
      <c r="M245" s="47">
        <f>M$247*L245</f>
        <v>1.0181712962962964E-2</v>
      </c>
      <c r="N245" s="12">
        <f t="shared" si="17"/>
        <v>1.05499046347145E-2</v>
      </c>
      <c r="O245" s="12">
        <f t="shared" si="18"/>
        <v>1.0945724535543929E-2</v>
      </c>
      <c r="P245" s="46">
        <f t="shared" si="18"/>
        <v>1.1372403622208158E-2</v>
      </c>
      <c r="Q245" s="46">
        <f t="shared" si="18"/>
        <v>1.1833697074573411E-2</v>
      </c>
      <c r="R245" s="46">
        <f t="shared" si="18"/>
        <v>1.2333995109585662E-2</v>
      </c>
      <c r="S245" s="12">
        <f t="shared" si="18"/>
        <v>1.2901308873495899E-2</v>
      </c>
      <c r="T245" s="12">
        <f t="shared" si="18"/>
        <v>1.3611915725886315E-2</v>
      </c>
      <c r="U245" s="12">
        <f t="shared" si="18"/>
        <v>1.4591162171056125E-2</v>
      </c>
      <c r="V245" s="12">
        <f t="shared" si="18"/>
        <v>1.6064551850683121E-2</v>
      </c>
      <c r="W245" s="12">
        <f t="shared" si="18"/>
        <v>1.849539139502809E-2</v>
      </c>
      <c r="X245" s="44">
        <f t="shared" si="18"/>
        <v>2.3051195297629532E-2</v>
      </c>
      <c r="Y245" s="20"/>
      <c r="Z245" s="12"/>
    </row>
    <row r="246" spans="1:26" ht="6" customHeight="1" x14ac:dyDescent="0.25">
      <c r="A246" s="66"/>
      <c r="B246" s="26"/>
      <c r="C246" s="67"/>
      <c r="D246" s="67"/>
      <c r="E246" s="67"/>
      <c r="F246" s="67"/>
      <c r="G246" s="67"/>
      <c r="H246" s="67"/>
      <c r="I246" s="26"/>
      <c r="J246" s="26"/>
      <c r="K246"/>
      <c r="L246" s="60"/>
      <c r="M246" s="16"/>
      <c r="N246" s="12"/>
      <c r="O246" s="12"/>
      <c r="P246" s="12"/>
      <c r="Q246" s="12"/>
      <c r="R246" s="12"/>
      <c r="S246" s="12"/>
      <c r="T246" s="12"/>
      <c r="U246" s="12"/>
      <c r="V246" s="12"/>
      <c r="W246" s="12"/>
      <c r="X246" s="44"/>
      <c r="Y246" s="12"/>
      <c r="Z246" s="12"/>
    </row>
    <row r="247" spans="1:26" s="14" customFormat="1" x14ac:dyDescent="0.25">
      <c r="A247" s="68"/>
      <c r="B247" s="69"/>
      <c r="C247" s="70"/>
      <c r="D247" s="70"/>
      <c r="E247" s="70"/>
      <c r="F247" s="70"/>
      <c r="G247" s="70"/>
      <c r="H247" s="70"/>
      <c r="I247" s="69"/>
      <c r="J247" s="69"/>
      <c r="K247" s="45"/>
      <c r="L247" s="64" t="s">
        <v>276</v>
      </c>
      <c r="M247" s="61">
        <v>1.0181712962962964E-2</v>
      </c>
      <c r="N247" s="62">
        <v>1.1430787037037038E-2</v>
      </c>
      <c r="O247" s="62">
        <v>1.1190162037037037E-2</v>
      </c>
      <c r="P247" s="62">
        <v>1.1388888888888888E-2</v>
      </c>
      <c r="Q247" s="62">
        <v>1.2035069444444444E-2</v>
      </c>
      <c r="R247" s="62">
        <v>1.2478935185185183E-2</v>
      </c>
      <c r="S247" s="61">
        <v>1.3278240740740738E-2</v>
      </c>
      <c r="T247" s="61">
        <v>1.4632060185185184E-2</v>
      </c>
      <c r="U247" s="61">
        <v>1.7360300925925925E-2</v>
      </c>
      <c r="V247" s="61">
        <v>2.0366319444444444E-2</v>
      </c>
      <c r="W247" s="61">
        <v>3.5582638888888886E-2</v>
      </c>
      <c r="X247" s="63"/>
    </row>
    <row r="248" spans="1:26" x14ac:dyDescent="0.25">
      <c r="K248" s="41" t="s">
        <v>244</v>
      </c>
      <c r="L248" s="30">
        <f>M248/M247</f>
        <v>0.85865636012276914</v>
      </c>
      <c r="M248" s="22">
        <v>8.7425925925925935E-3</v>
      </c>
    </row>
    <row r="249" spans="1:26" hidden="1" x14ac:dyDescent="0.25">
      <c r="A249" t="s">
        <v>195</v>
      </c>
      <c r="C249" s="5"/>
      <c r="D249" s="5"/>
      <c r="E249" s="5"/>
      <c r="F249" s="5"/>
      <c r="G249" s="7"/>
      <c r="H249" s="7"/>
      <c r="I249" s="7" t="s">
        <v>196</v>
      </c>
      <c r="J249" s="6" t="s">
        <v>197</v>
      </c>
    </row>
    <row r="250" spans="1:26" hidden="1" x14ac:dyDescent="0.25">
      <c r="A250" t="s">
        <v>9</v>
      </c>
      <c r="C250" s="5"/>
      <c r="D250" s="5"/>
      <c r="E250" s="5"/>
      <c r="F250" s="5"/>
      <c r="G250" s="7" t="s">
        <v>198</v>
      </c>
      <c r="H250" s="7" t="s">
        <v>196</v>
      </c>
      <c r="I250" s="7">
        <v>1152.8800000000001</v>
      </c>
      <c r="J250" s="6">
        <f>I250/0.9</f>
        <v>1280.9777777777779</v>
      </c>
    </row>
    <row r="251" spans="1:26" hidden="1" x14ac:dyDescent="0.25">
      <c r="A251" s="6" t="s">
        <v>12</v>
      </c>
      <c r="B251">
        <v>301</v>
      </c>
      <c r="C251" s="5"/>
      <c r="D251" s="5"/>
      <c r="E251" s="5"/>
      <c r="F251" s="5"/>
      <c r="G251" s="5">
        <v>24.57</v>
      </c>
      <c r="H251" s="5">
        <v>25.44</v>
      </c>
      <c r="I251" s="5">
        <v>25.44</v>
      </c>
      <c r="J251">
        <v>26.58</v>
      </c>
    </row>
    <row r="252" spans="1:26" hidden="1" x14ac:dyDescent="0.25">
      <c r="A252">
        <v>7</v>
      </c>
      <c r="B252">
        <v>413</v>
      </c>
      <c r="C252" s="5"/>
      <c r="D252" s="5"/>
      <c r="E252" s="5"/>
      <c r="F252" s="5"/>
      <c r="G252" s="5">
        <v>23.14</v>
      </c>
      <c r="H252" s="5">
        <v>24.09</v>
      </c>
      <c r="I252" s="5">
        <v>24.09</v>
      </c>
      <c r="J252">
        <v>25.37</v>
      </c>
    </row>
    <row r="253" spans="1:26" hidden="1" x14ac:dyDescent="0.25">
      <c r="A253">
        <v>8</v>
      </c>
      <c r="B253">
        <v>529</v>
      </c>
      <c r="C253" s="5"/>
      <c r="D253" s="5"/>
      <c r="E253" s="5"/>
      <c r="F253" s="5"/>
      <c r="G253" s="5">
        <v>21.41</v>
      </c>
      <c r="H253" s="5">
        <v>22.42</v>
      </c>
      <c r="I253" s="5">
        <v>22.42</v>
      </c>
      <c r="J253">
        <v>24.22</v>
      </c>
    </row>
    <row r="254" spans="1:26" hidden="1" x14ac:dyDescent="0.25">
      <c r="A254">
        <v>9</v>
      </c>
      <c r="B254">
        <v>647</v>
      </c>
      <c r="C254" s="5"/>
      <c r="D254" s="5"/>
      <c r="E254" s="5"/>
      <c r="F254" s="5"/>
      <c r="G254" s="5">
        <v>20.170000000000002</v>
      </c>
      <c r="H254" s="5">
        <v>21.24</v>
      </c>
      <c r="I254" s="5">
        <v>21.24</v>
      </c>
      <c r="J254">
        <v>23.14</v>
      </c>
    </row>
    <row r="255" spans="1:26" hidden="1" x14ac:dyDescent="0.25">
      <c r="A255">
        <v>10</v>
      </c>
      <c r="B255">
        <v>765</v>
      </c>
      <c r="C255" s="5"/>
      <c r="D255" s="5"/>
      <c r="E255" s="5"/>
      <c r="F255" s="5"/>
      <c r="G255" s="5">
        <v>19</v>
      </c>
      <c r="H255" s="5">
        <v>20.13</v>
      </c>
      <c r="I255" s="5">
        <v>20.13</v>
      </c>
      <c r="J255">
        <v>22.13</v>
      </c>
    </row>
    <row r="256" spans="1:26" hidden="1" x14ac:dyDescent="0.25">
      <c r="A256">
        <v>11</v>
      </c>
      <c r="B256">
        <v>888</v>
      </c>
      <c r="C256" s="5"/>
      <c r="D256" s="5"/>
      <c r="E256" s="5"/>
      <c r="F256" s="5"/>
      <c r="G256" s="5">
        <v>17.45</v>
      </c>
      <c r="H256" s="5">
        <v>19.04</v>
      </c>
      <c r="I256" s="5">
        <v>19.04</v>
      </c>
      <c r="J256">
        <v>21.14</v>
      </c>
      <c r="K256" s="38"/>
    </row>
    <row r="257" spans="1:11" hidden="1" x14ac:dyDescent="0.25">
      <c r="K257" s="38"/>
    </row>
    <row r="258" spans="1:11" hidden="1" x14ac:dyDescent="0.25">
      <c r="A258" t="s">
        <v>199</v>
      </c>
      <c r="C258" s="5"/>
      <c r="D258" s="5"/>
      <c r="E258" s="5"/>
      <c r="F258" s="5"/>
      <c r="G258" s="7"/>
      <c r="H258" s="7"/>
      <c r="I258" s="7" t="s">
        <v>200</v>
      </c>
      <c r="J258" s="6" t="s">
        <v>201</v>
      </c>
      <c r="K258" s="38"/>
    </row>
    <row r="259" spans="1:11" hidden="1" x14ac:dyDescent="0.25">
      <c r="A259" t="s">
        <v>9</v>
      </c>
      <c r="C259" s="5"/>
      <c r="D259" s="5"/>
      <c r="E259" s="5"/>
      <c r="F259" s="5"/>
      <c r="G259" s="7" t="s">
        <v>202</v>
      </c>
      <c r="H259" s="7" t="s">
        <v>200</v>
      </c>
      <c r="I259" s="7">
        <v>2028.1</v>
      </c>
      <c r="J259" s="6">
        <f>I259/0.9</f>
        <v>2253.4444444444443</v>
      </c>
      <c r="K259" s="38"/>
    </row>
    <row r="260" spans="1:11" hidden="1" x14ac:dyDescent="0.25">
      <c r="A260" s="6" t="s">
        <v>12</v>
      </c>
      <c r="B260">
        <v>301</v>
      </c>
      <c r="C260" s="5"/>
      <c r="D260" s="5"/>
      <c r="E260" s="5"/>
      <c r="F260" s="5"/>
      <c r="G260" s="7">
        <v>39.380000000000003</v>
      </c>
      <c r="H260" s="7">
        <v>41.31</v>
      </c>
      <c r="I260" s="7">
        <v>41.31</v>
      </c>
      <c r="J260" s="6">
        <v>43.73</v>
      </c>
      <c r="K260" s="38"/>
    </row>
    <row r="261" spans="1:11" hidden="1" x14ac:dyDescent="0.25">
      <c r="A261">
        <v>7</v>
      </c>
      <c r="B261">
        <v>413</v>
      </c>
      <c r="C261" s="5"/>
      <c r="D261" s="5"/>
      <c r="E261" s="5"/>
      <c r="F261" s="5"/>
      <c r="G261" s="7">
        <v>37.26</v>
      </c>
      <c r="H261" s="7">
        <v>39.380000000000003</v>
      </c>
      <c r="I261" s="7">
        <v>39.380000000000003</v>
      </c>
      <c r="J261" s="6">
        <v>42.13</v>
      </c>
      <c r="K261" s="38"/>
    </row>
    <row r="262" spans="1:11" hidden="1" x14ac:dyDescent="0.25">
      <c r="A262">
        <v>8</v>
      </c>
      <c r="B262">
        <v>529</v>
      </c>
      <c r="C262" s="5"/>
      <c r="D262" s="5"/>
      <c r="E262" s="5"/>
      <c r="F262" s="5"/>
      <c r="G262" s="7">
        <v>35.270000000000003</v>
      </c>
      <c r="H262" s="7">
        <v>37.57</v>
      </c>
      <c r="I262" s="7">
        <v>37.57</v>
      </c>
      <c r="J262" s="6">
        <v>40.520000000000003</v>
      </c>
      <c r="K262" s="38"/>
    </row>
    <row r="263" spans="1:11" hidden="1" x14ac:dyDescent="0.25">
      <c r="A263">
        <v>9</v>
      </c>
      <c r="B263">
        <v>647</v>
      </c>
      <c r="C263" s="5"/>
      <c r="D263" s="5"/>
      <c r="E263" s="5"/>
      <c r="F263" s="5"/>
      <c r="G263" s="7">
        <v>33.39</v>
      </c>
      <c r="H263" s="7">
        <v>36.24</v>
      </c>
      <c r="I263" s="7">
        <v>36.24</v>
      </c>
      <c r="J263" s="6">
        <v>39.380000000000003</v>
      </c>
      <c r="K263" s="38"/>
    </row>
    <row r="264" spans="1:11" hidden="1" x14ac:dyDescent="0.25">
      <c r="A264">
        <v>10</v>
      </c>
      <c r="B264">
        <v>765</v>
      </c>
      <c r="C264" s="5"/>
      <c r="D264" s="5"/>
      <c r="E264" s="5"/>
      <c r="F264" s="5"/>
      <c r="G264" s="7">
        <v>31.59</v>
      </c>
      <c r="H264" s="7">
        <v>34.590000000000003</v>
      </c>
      <c r="I264" s="7">
        <v>34.590000000000003</v>
      </c>
      <c r="J264" s="6">
        <v>38.299999999999997</v>
      </c>
    </row>
    <row r="265" spans="1:11" hidden="1" x14ac:dyDescent="0.25">
      <c r="A265">
        <v>11</v>
      </c>
      <c r="B265">
        <v>888</v>
      </c>
      <c r="C265" s="5"/>
      <c r="D265" s="5"/>
      <c r="E265" s="5"/>
      <c r="F265" s="5"/>
      <c r="G265" s="7">
        <v>30.24</v>
      </c>
      <c r="H265" s="7">
        <v>33.380000000000003</v>
      </c>
      <c r="I265" s="7">
        <v>33.380000000000003</v>
      </c>
      <c r="J265" s="6">
        <v>37.26</v>
      </c>
      <c r="K265" s="38"/>
    </row>
    <row r="266" spans="1:11" hidden="1" x14ac:dyDescent="0.25">
      <c r="K266" s="38"/>
    </row>
    <row r="267" spans="1:11" hidden="1" x14ac:dyDescent="0.25">
      <c r="A267" t="s">
        <v>203</v>
      </c>
      <c r="C267" s="5"/>
      <c r="D267" s="5"/>
      <c r="E267" s="5"/>
      <c r="F267" s="5"/>
      <c r="G267" s="7" t="s">
        <v>204</v>
      </c>
      <c r="H267" s="7" t="s">
        <v>205</v>
      </c>
      <c r="I267" s="6" t="s">
        <v>206</v>
      </c>
      <c r="J267" s="6" t="s">
        <v>207</v>
      </c>
      <c r="K267" s="38"/>
    </row>
    <row r="268" spans="1:11" hidden="1" x14ac:dyDescent="0.25">
      <c r="A268" t="s">
        <v>9</v>
      </c>
      <c r="C268" s="5"/>
      <c r="D268" s="5"/>
      <c r="E268" s="5"/>
      <c r="F268" s="5" t="s">
        <v>208</v>
      </c>
      <c r="G268" s="7">
        <v>2230.5</v>
      </c>
      <c r="H268" s="6">
        <f>G268/0.9</f>
        <v>2478.3333333333335</v>
      </c>
      <c r="I268" s="6">
        <f>H268/0.9</f>
        <v>2753.7037037037039</v>
      </c>
      <c r="J268" s="6">
        <f>I268/0.9</f>
        <v>3059.6707818930045</v>
      </c>
      <c r="K268" s="38"/>
    </row>
    <row r="269" spans="1:11" hidden="1" x14ac:dyDescent="0.25">
      <c r="A269" s="6" t="s">
        <v>12</v>
      </c>
      <c r="B269">
        <v>301</v>
      </c>
      <c r="C269" s="5"/>
      <c r="D269" s="5"/>
      <c r="E269" s="5"/>
      <c r="F269" s="5"/>
      <c r="G269" s="7">
        <v>52.47</v>
      </c>
      <c r="H269" s="7">
        <v>55.13</v>
      </c>
      <c r="I269" s="6">
        <v>57.54</v>
      </c>
      <c r="J269" s="6">
        <v>59.33</v>
      </c>
      <c r="K269" s="38"/>
    </row>
    <row r="270" spans="1:11" hidden="1" x14ac:dyDescent="0.25">
      <c r="A270">
        <v>7</v>
      </c>
      <c r="B270">
        <v>413</v>
      </c>
      <c r="C270" s="5"/>
      <c r="D270" s="5"/>
      <c r="E270" s="5"/>
      <c r="F270" s="5"/>
      <c r="G270" s="7">
        <v>48.59</v>
      </c>
      <c r="H270" s="7">
        <v>51.49</v>
      </c>
      <c r="I270" s="6">
        <v>54.58</v>
      </c>
      <c r="J270" s="6">
        <v>56.53</v>
      </c>
      <c r="K270" s="38"/>
    </row>
    <row r="271" spans="1:11" hidden="1" x14ac:dyDescent="0.25">
      <c r="A271">
        <v>8</v>
      </c>
      <c r="B271">
        <v>529</v>
      </c>
      <c r="C271" s="5"/>
      <c r="D271" s="5"/>
      <c r="E271" s="5"/>
      <c r="F271" s="5"/>
      <c r="G271" s="7">
        <v>45.33</v>
      </c>
      <c r="H271" s="7">
        <v>48.46</v>
      </c>
      <c r="I271" s="6">
        <v>52.21</v>
      </c>
      <c r="J271" s="6">
        <v>54.3</v>
      </c>
      <c r="K271" s="38"/>
    </row>
    <row r="272" spans="1:11" hidden="1" x14ac:dyDescent="0.25">
      <c r="A272">
        <v>9</v>
      </c>
      <c r="B272">
        <v>647</v>
      </c>
      <c r="C272" s="5"/>
      <c r="D272" s="5"/>
      <c r="E272" s="5"/>
      <c r="F272" s="5"/>
      <c r="G272" s="7">
        <v>42.26</v>
      </c>
      <c r="H272" s="7">
        <v>46</v>
      </c>
      <c r="I272" s="6">
        <v>49.56</v>
      </c>
      <c r="J272" s="6">
        <v>52.19</v>
      </c>
      <c r="K272" s="38"/>
    </row>
    <row r="273" spans="1:12" hidden="1" x14ac:dyDescent="0.25">
      <c r="A273">
        <v>10</v>
      </c>
      <c r="B273">
        <v>765</v>
      </c>
      <c r="C273" s="5"/>
      <c r="D273" s="5"/>
      <c r="E273" s="5"/>
      <c r="F273" s="5"/>
      <c r="G273" s="7">
        <v>39.36</v>
      </c>
      <c r="H273" s="7">
        <v>43.27</v>
      </c>
      <c r="I273" s="6">
        <v>47.46</v>
      </c>
      <c r="J273" s="6">
        <v>50.2</v>
      </c>
    </row>
    <row r="274" spans="1:12" hidden="1" x14ac:dyDescent="0.25">
      <c r="A274">
        <v>11</v>
      </c>
      <c r="B274">
        <v>888</v>
      </c>
      <c r="C274" s="5"/>
      <c r="D274" s="5"/>
      <c r="E274" s="5"/>
      <c r="F274" s="5"/>
      <c r="G274" s="7">
        <v>36.51</v>
      </c>
      <c r="H274" s="7">
        <v>41.02</v>
      </c>
      <c r="I274" s="6">
        <v>45.38</v>
      </c>
      <c r="J274" s="6">
        <v>48.25</v>
      </c>
      <c r="K274" s="34"/>
      <c r="L274" s="28"/>
    </row>
    <row r="275" spans="1:12" hidden="1" x14ac:dyDescent="0.25">
      <c r="K275" s="38"/>
    </row>
    <row r="276" spans="1:12" hidden="1" x14ac:dyDescent="0.25">
      <c r="A276" t="s">
        <v>209</v>
      </c>
      <c r="C276" s="5"/>
      <c r="D276" s="5"/>
      <c r="E276" s="5"/>
      <c r="F276" s="5"/>
      <c r="G276" s="11" t="s">
        <v>210</v>
      </c>
      <c r="H276" s="3" t="s">
        <v>211</v>
      </c>
      <c r="I276" s="3" t="s">
        <v>212</v>
      </c>
      <c r="J276" s="3" t="s">
        <v>213</v>
      </c>
    </row>
    <row r="277" spans="1:12" hidden="1" x14ac:dyDescent="0.25">
      <c r="A277" t="s">
        <v>9</v>
      </c>
      <c r="C277" s="5"/>
      <c r="D277" s="5"/>
      <c r="E277" s="5"/>
      <c r="F277" s="5"/>
      <c r="G277" s="7" t="s">
        <v>214</v>
      </c>
      <c r="H277" s="6" t="s">
        <v>215</v>
      </c>
      <c r="I277" s="6">
        <v>11.26</v>
      </c>
      <c r="J277" s="6" t="s">
        <v>216</v>
      </c>
    </row>
    <row r="278" spans="1:12" hidden="1" x14ac:dyDescent="0.25">
      <c r="A278" s="6" t="s">
        <v>12</v>
      </c>
      <c r="B278">
        <v>301</v>
      </c>
      <c r="C278" s="5"/>
      <c r="D278" s="5"/>
      <c r="E278" s="5"/>
      <c r="F278" s="5"/>
      <c r="G278" s="5">
        <v>11.31</v>
      </c>
      <c r="H278">
        <v>12.1</v>
      </c>
      <c r="I278" s="6">
        <v>12.46</v>
      </c>
      <c r="J278">
        <v>9.1300000000000008</v>
      </c>
    </row>
    <row r="279" spans="1:12" hidden="1" x14ac:dyDescent="0.25">
      <c r="A279">
        <v>7</v>
      </c>
      <c r="B279">
        <v>413</v>
      </c>
      <c r="C279" s="5"/>
      <c r="D279" s="5"/>
      <c r="E279" s="5"/>
      <c r="F279" s="5"/>
      <c r="G279" s="5">
        <v>10.58</v>
      </c>
      <c r="H279">
        <v>11.44</v>
      </c>
      <c r="I279" s="6">
        <v>12.26</v>
      </c>
      <c r="J279">
        <v>8.5500000000000007</v>
      </c>
    </row>
    <row r="280" spans="1:12" hidden="1" x14ac:dyDescent="0.25">
      <c r="A280">
        <v>8</v>
      </c>
      <c r="B280">
        <v>529</v>
      </c>
      <c r="C280" s="5"/>
      <c r="D280" s="5"/>
      <c r="E280" s="5"/>
      <c r="F280" s="5"/>
      <c r="G280" s="5">
        <v>10.29</v>
      </c>
      <c r="H280">
        <v>11.21</v>
      </c>
      <c r="I280" s="6">
        <v>12.09</v>
      </c>
      <c r="J280">
        <v>8.39</v>
      </c>
    </row>
    <row r="281" spans="1:12" hidden="1" x14ac:dyDescent="0.25">
      <c r="A281">
        <v>9</v>
      </c>
      <c r="B281">
        <v>647</v>
      </c>
      <c r="C281" s="5"/>
      <c r="D281" s="5"/>
      <c r="E281" s="5"/>
      <c r="F281" s="5"/>
      <c r="G281" s="5">
        <v>10.029999999999999</v>
      </c>
      <c r="H281">
        <v>11</v>
      </c>
      <c r="I281" s="6">
        <v>11.53</v>
      </c>
      <c r="J281">
        <v>8.24</v>
      </c>
    </row>
    <row r="282" spans="1:12" hidden="1" x14ac:dyDescent="0.25">
      <c r="A282">
        <v>10</v>
      </c>
      <c r="B282">
        <v>765</v>
      </c>
      <c r="C282" s="5"/>
      <c r="D282" s="5"/>
      <c r="E282" s="5"/>
      <c r="F282" s="5"/>
      <c r="G282" s="5">
        <v>9.39</v>
      </c>
      <c r="H282">
        <v>10.41</v>
      </c>
      <c r="I282" s="6">
        <v>11.38</v>
      </c>
      <c r="J282">
        <v>8.1</v>
      </c>
    </row>
    <row r="283" spans="1:12" hidden="1" x14ac:dyDescent="0.25">
      <c r="A283">
        <v>11</v>
      </c>
      <c r="B283">
        <v>888</v>
      </c>
      <c r="C283" s="5"/>
      <c r="D283" s="5"/>
      <c r="E283" s="5"/>
      <c r="F283" s="5"/>
      <c r="G283" s="5">
        <v>9.15</v>
      </c>
      <c r="H283">
        <v>10.220000000000001</v>
      </c>
      <c r="I283" s="6">
        <v>11.24</v>
      </c>
      <c r="J283">
        <v>7.57</v>
      </c>
      <c r="K283" s="38"/>
    </row>
    <row r="284" spans="1:12" hidden="1" x14ac:dyDescent="0.25">
      <c r="K284" s="38"/>
    </row>
    <row r="285" spans="1:12" hidden="1" x14ac:dyDescent="0.25">
      <c r="A285" t="s">
        <v>217</v>
      </c>
      <c r="C285" s="5"/>
      <c r="D285" s="5"/>
      <c r="E285" s="5"/>
      <c r="F285" s="5"/>
      <c r="G285" s="7"/>
      <c r="H285" s="7"/>
      <c r="I285" s="6"/>
      <c r="J285" s="6"/>
      <c r="K285" s="38"/>
    </row>
    <row r="286" spans="1:12" hidden="1" x14ac:dyDescent="0.25">
      <c r="A286" t="s">
        <v>9</v>
      </c>
      <c r="C286" s="5"/>
      <c r="D286" s="5"/>
      <c r="E286" s="5"/>
      <c r="F286" s="5"/>
      <c r="G286" s="7" t="s">
        <v>218</v>
      </c>
      <c r="H286" s="7" t="s">
        <v>219</v>
      </c>
      <c r="I286" s="7" t="s">
        <v>220</v>
      </c>
      <c r="J286" s="6" t="s">
        <v>221</v>
      </c>
      <c r="K286" s="38"/>
    </row>
    <row r="287" spans="1:12" hidden="1" x14ac:dyDescent="0.25">
      <c r="A287" s="6" t="s">
        <v>12</v>
      </c>
      <c r="B287">
        <v>301</v>
      </c>
      <c r="C287" s="5"/>
      <c r="D287" s="5"/>
      <c r="E287" s="5"/>
      <c r="F287" s="5"/>
      <c r="G287" s="7">
        <v>12.39</v>
      </c>
      <c r="H287" s="7">
        <v>12.53</v>
      </c>
      <c r="I287" s="6">
        <v>13.26</v>
      </c>
      <c r="J287" s="6">
        <v>14.09</v>
      </c>
      <c r="K287" s="38"/>
    </row>
    <row r="288" spans="1:12" hidden="1" x14ac:dyDescent="0.25">
      <c r="A288">
        <v>7</v>
      </c>
      <c r="B288">
        <v>413</v>
      </c>
      <c r="C288" s="5"/>
      <c r="D288" s="5"/>
      <c r="E288" s="5"/>
      <c r="F288" s="5"/>
      <c r="G288" s="7">
        <v>11.54</v>
      </c>
      <c r="H288" s="7">
        <v>12.11</v>
      </c>
      <c r="I288" s="6">
        <v>12.5</v>
      </c>
      <c r="J288" s="6">
        <v>13.4</v>
      </c>
      <c r="K288" s="38"/>
    </row>
    <row r="289" spans="1:254" hidden="1" x14ac:dyDescent="0.25">
      <c r="A289">
        <v>8</v>
      </c>
      <c r="B289">
        <v>529</v>
      </c>
      <c r="C289" s="5"/>
      <c r="D289" s="5"/>
      <c r="E289" s="5"/>
      <c r="F289" s="5"/>
      <c r="G289" s="7">
        <v>11.14</v>
      </c>
      <c r="H289" s="7">
        <v>11.33</v>
      </c>
      <c r="I289" s="6">
        <v>10.17</v>
      </c>
      <c r="J289" s="6">
        <v>13.14</v>
      </c>
      <c r="K289" s="38"/>
    </row>
    <row r="290" spans="1:254" hidden="1" x14ac:dyDescent="0.25">
      <c r="A290">
        <v>9</v>
      </c>
      <c r="B290">
        <v>647</v>
      </c>
      <c r="C290" s="5"/>
      <c r="D290" s="5"/>
      <c r="E290" s="5"/>
      <c r="F290" s="5"/>
      <c r="G290" s="7">
        <v>10.37</v>
      </c>
      <c r="H290" s="7">
        <v>10.58</v>
      </c>
      <c r="I290" s="6">
        <v>11.47</v>
      </c>
      <c r="J290" s="6">
        <v>12.5</v>
      </c>
      <c r="K290" s="38"/>
    </row>
    <row r="291" spans="1:254" hidden="1" x14ac:dyDescent="0.25">
      <c r="A291">
        <v>10</v>
      </c>
      <c r="B291">
        <v>765</v>
      </c>
      <c r="C291" s="5"/>
      <c r="D291" s="5"/>
      <c r="E291" s="5"/>
      <c r="F291" s="5"/>
      <c r="G291" s="7">
        <v>10.029999999999999</v>
      </c>
      <c r="H291" s="7">
        <v>10.26</v>
      </c>
      <c r="I291" s="6">
        <v>11.2</v>
      </c>
      <c r="J291" s="6">
        <v>12.28</v>
      </c>
    </row>
    <row r="292" spans="1:254" hidden="1" x14ac:dyDescent="0.25">
      <c r="A292">
        <v>11</v>
      </c>
      <c r="B292">
        <v>888</v>
      </c>
      <c r="C292" s="5"/>
      <c r="D292" s="5"/>
      <c r="E292" s="5"/>
      <c r="F292" s="5"/>
      <c r="G292" s="7">
        <v>9.31</v>
      </c>
      <c r="H292" s="7">
        <v>9.56</v>
      </c>
      <c r="I292" s="6">
        <v>10.54</v>
      </c>
      <c r="J292" s="6">
        <v>12.07</v>
      </c>
    </row>
    <row r="293" spans="1:254" hidden="1" x14ac:dyDescent="0.25"/>
    <row r="294" spans="1:254" hidden="1" x14ac:dyDescent="0.25">
      <c r="N294" t="s">
        <v>14</v>
      </c>
    </row>
    <row r="295" spans="1:254" hidden="1" x14ac:dyDescent="0.25"/>
    <row r="296" spans="1:254" s="5" customFormat="1" hidden="1" x14ac:dyDescent="0.25">
      <c r="A296"/>
      <c r="B296"/>
      <c r="C296"/>
      <c r="D296"/>
      <c r="E296"/>
      <c r="F296"/>
      <c r="G296"/>
      <c r="H296"/>
      <c r="I296"/>
      <c r="J296"/>
      <c r="K296" s="34"/>
      <c r="L296" s="28"/>
      <c r="M296"/>
      <c r="N296" t="s">
        <v>14</v>
      </c>
      <c r="S296" s="7"/>
      <c r="T296"/>
      <c r="U296" s="7" t="s">
        <v>14</v>
      </c>
      <c r="V296"/>
      <c r="W296"/>
      <c r="X296"/>
      <c r="AC296" s="7"/>
      <c r="AD296"/>
      <c r="AE296" s="7"/>
      <c r="AF296"/>
      <c r="AG296"/>
      <c r="AH296"/>
      <c r="AM296" s="7"/>
      <c r="AN296"/>
      <c r="AO296" s="7"/>
      <c r="AP296"/>
      <c r="AQ296"/>
      <c r="AR296"/>
      <c r="AW296" s="7"/>
      <c r="AX296"/>
      <c r="AY296" s="7"/>
      <c r="AZ296"/>
      <c r="BA296"/>
      <c r="BB296"/>
      <c r="BG296" s="7"/>
      <c r="BH296"/>
      <c r="BI296" s="7"/>
      <c r="BJ296"/>
      <c r="BK296"/>
      <c r="BL296"/>
      <c r="BQ296" s="7"/>
      <c r="BR296"/>
      <c r="BS296" s="7"/>
      <c r="BT296"/>
      <c r="BU296"/>
      <c r="BV296"/>
      <c r="CA296" s="7"/>
      <c r="CB296"/>
      <c r="CC296" s="7"/>
      <c r="CD296"/>
      <c r="CE296"/>
      <c r="CF296"/>
      <c r="CK296" s="7"/>
      <c r="CL296"/>
      <c r="CM296" s="7"/>
      <c r="CN296"/>
      <c r="CO296"/>
      <c r="CP296"/>
      <c r="CU296" s="7"/>
      <c r="CV296"/>
      <c r="CW296" s="7"/>
      <c r="CX296"/>
      <c r="CY296"/>
      <c r="CZ296"/>
      <c r="DE296" s="7"/>
      <c r="DF296"/>
      <c r="DG296" s="7"/>
      <c r="DH296"/>
      <c r="DI296"/>
      <c r="DJ296"/>
      <c r="DO296" s="7"/>
      <c r="DP296"/>
      <c r="DQ296" s="7"/>
      <c r="DR296"/>
      <c r="DS296"/>
      <c r="DT296"/>
      <c r="DY296" s="7"/>
      <c r="DZ296"/>
      <c r="EA296" s="7"/>
      <c r="EB296"/>
      <c r="EC296"/>
      <c r="ED296"/>
      <c r="EI296" s="7"/>
      <c r="EJ296"/>
      <c r="EK296" s="7"/>
      <c r="EL296"/>
      <c r="EM296"/>
      <c r="EN296"/>
      <c r="ES296" s="7"/>
      <c r="ET296"/>
      <c r="EU296" s="7"/>
      <c r="EV296"/>
      <c r="EW296"/>
      <c r="EX296"/>
      <c r="FC296" s="7"/>
      <c r="FD296"/>
      <c r="FE296" s="7"/>
      <c r="FF296"/>
      <c r="FG296"/>
      <c r="FH296"/>
      <c r="FM296" s="7"/>
      <c r="FN296"/>
      <c r="FO296" s="7"/>
      <c r="FP296"/>
      <c r="FQ296"/>
      <c r="FR296"/>
      <c r="FW296" s="7"/>
      <c r="FX296"/>
      <c r="FY296" s="7"/>
      <c r="FZ296"/>
      <c r="GA296"/>
      <c r="GB296"/>
      <c r="GG296" s="7"/>
      <c r="GH296"/>
      <c r="GI296" s="7"/>
      <c r="GJ296"/>
      <c r="GK296"/>
      <c r="GL296"/>
      <c r="GQ296" s="7"/>
      <c r="GR296"/>
      <c r="GS296" s="7"/>
      <c r="GT296"/>
      <c r="GU296"/>
      <c r="GV296"/>
      <c r="HA296" s="7"/>
      <c r="HB296"/>
      <c r="HC296" s="7"/>
      <c r="HD296"/>
      <c r="HE296"/>
      <c r="HF296"/>
      <c r="HK296" s="7"/>
      <c r="HL296"/>
      <c r="HM296" s="7"/>
      <c r="HN296"/>
      <c r="HO296"/>
      <c r="HP296"/>
      <c r="HU296" s="7"/>
      <c r="HV296"/>
      <c r="HW296" s="7"/>
      <c r="HX296"/>
      <c r="HY296"/>
      <c r="HZ296"/>
      <c r="IE296" s="7"/>
      <c r="IF296"/>
      <c r="IG296" s="7"/>
      <c r="IH296"/>
      <c r="II296"/>
      <c r="IJ296"/>
      <c r="IO296" s="7"/>
      <c r="IP296"/>
      <c r="IQ296" s="7"/>
      <c r="IR296"/>
      <c r="IS296"/>
      <c r="IT296"/>
    </row>
    <row r="297" spans="1:254" s="5" customFormat="1" hidden="1" x14ac:dyDescent="0.25">
      <c r="A297"/>
      <c r="B297"/>
      <c r="C297"/>
      <c r="D297"/>
      <c r="E297"/>
      <c r="F297"/>
      <c r="G297"/>
      <c r="H297"/>
      <c r="I297"/>
      <c r="J297"/>
      <c r="K297" s="33"/>
      <c r="L297" s="27"/>
      <c r="M297"/>
      <c r="N297"/>
      <c r="S297" s="7"/>
      <c r="T297" s="6"/>
      <c r="U297" s="6"/>
      <c r="V297" s="6"/>
      <c r="W297"/>
      <c r="X297"/>
      <c r="AC297" s="7"/>
      <c r="AD297" s="6"/>
      <c r="AE297" s="6"/>
      <c r="AF297" s="6"/>
      <c r="AG297"/>
      <c r="AH297"/>
      <c r="AM297" s="7"/>
      <c r="AN297" s="6"/>
      <c r="AO297" s="6"/>
      <c r="AP297" s="6"/>
      <c r="AQ297"/>
      <c r="AR297"/>
      <c r="AW297" s="7"/>
      <c r="AX297" s="6"/>
      <c r="AY297" s="6"/>
      <c r="AZ297" s="6"/>
      <c r="BA297"/>
      <c r="BB297"/>
      <c r="BG297" s="7"/>
      <c r="BH297" s="6"/>
      <c r="BI297" s="6"/>
      <c r="BJ297" s="6"/>
      <c r="BK297"/>
      <c r="BL297"/>
      <c r="BQ297" s="7"/>
      <c r="BR297" s="6"/>
      <c r="BS297" s="6"/>
      <c r="BT297" s="6"/>
      <c r="BU297"/>
      <c r="BV297"/>
      <c r="CA297" s="7"/>
      <c r="CB297" s="6"/>
      <c r="CC297" s="6"/>
      <c r="CD297" s="6"/>
      <c r="CE297"/>
      <c r="CF297"/>
      <c r="CK297" s="7"/>
      <c r="CL297" s="6"/>
      <c r="CM297" s="6"/>
      <c r="CN297" s="6"/>
      <c r="CO297"/>
      <c r="CP297"/>
      <c r="CU297" s="7"/>
      <c r="CV297" s="6"/>
      <c r="CW297" s="6"/>
      <c r="CX297" s="6"/>
      <c r="CY297"/>
      <c r="CZ297"/>
      <c r="DE297" s="7"/>
      <c r="DF297" s="6"/>
      <c r="DG297" s="6"/>
      <c r="DH297" s="6"/>
      <c r="DI297"/>
      <c r="DJ297"/>
      <c r="DO297" s="7"/>
      <c r="DP297" s="6"/>
      <c r="DQ297" s="6"/>
      <c r="DR297" s="6"/>
      <c r="DS297"/>
      <c r="DT297"/>
      <c r="DY297" s="7"/>
      <c r="DZ297" s="6"/>
      <c r="EA297" s="6"/>
      <c r="EB297" s="6"/>
      <c r="EC297"/>
      <c r="ED297"/>
      <c r="EI297" s="7"/>
      <c r="EJ297" s="6"/>
      <c r="EK297" s="6"/>
      <c r="EL297" s="6"/>
      <c r="EM297"/>
      <c r="EN297"/>
      <c r="ES297" s="7"/>
      <c r="ET297" s="6"/>
      <c r="EU297" s="6"/>
      <c r="EV297" s="6"/>
      <c r="EW297"/>
      <c r="EX297"/>
      <c r="FC297" s="7"/>
      <c r="FD297" s="6"/>
      <c r="FE297" s="6"/>
      <c r="FF297" s="6"/>
      <c r="FG297"/>
      <c r="FH297"/>
      <c r="FM297" s="7"/>
      <c r="FN297" s="6"/>
      <c r="FO297" s="6"/>
      <c r="FP297" s="6"/>
      <c r="FQ297"/>
      <c r="FR297"/>
      <c r="FW297" s="7"/>
      <c r="FX297" s="6"/>
      <c r="FY297" s="6"/>
      <c r="FZ297" s="6"/>
      <c r="GA297"/>
      <c r="GB297"/>
      <c r="GG297" s="7"/>
      <c r="GH297" s="6"/>
      <c r="GI297" s="6"/>
      <c r="GJ297" s="6"/>
      <c r="GK297"/>
      <c r="GL297"/>
      <c r="GQ297" s="7"/>
      <c r="GR297" s="6"/>
      <c r="GS297" s="6"/>
      <c r="GT297" s="6"/>
      <c r="GU297"/>
      <c r="GV297"/>
      <c r="HA297" s="7"/>
      <c r="HB297" s="6"/>
      <c r="HC297" s="6"/>
      <c r="HD297" s="6"/>
      <c r="HE297"/>
      <c r="HF297"/>
      <c r="HK297" s="7"/>
      <c r="HL297" s="6"/>
      <c r="HM297" s="6"/>
      <c r="HN297" s="6"/>
      <c r="HO297"/>
      <c r="HP297"/>
      <c r="HU297" s="7"/>
      <c r="HV297" s="6"/>
      <c r="HW297" s="6"/>
      <c r="HX297" s="6"/>
      <c r="HY297"/>
      <c r="HZ297"/>
      <c r="IE297" s="7"/>
      <c r="IF297" s="6"/>
      <c r="IG297" s="6"/>
      <c r="IH297" s="6"/>
      <c r="II297"/>
      <c r="IJ297"/>
      <c r="IO297" s="7"/>
      <c r="IP297" s="6"/>
      <c r="IQ297" s="6"/>
      <c r="IR297" s="6"/>
      <c r="IS297"/>
      <c r="IT297"/>
    </row>
    <row r="298" spans="1:254" s="5" customFormat="1" hidden="1" x14ac:dyDescent="0.25">
      <c r="A298"/>
      <c r="B298"/>
      <c r="C298" s="2" t="s">
        <v>0</v>
      </c>
      <c r="D298" s="2" t="s">
        <v>1</v>
      </c>
      <c r="E298" s="2" t="s">
        <v>2</v>
      </c>
      <c r="F298" s="2" t="s">
        <v>3</v>
      </c>
      <c r="G298" s="3" t="s">
        <v>4</v>
      </c>
      <c r="H298" s="3" t="s">
        <v>5</v>
      </c>
      <c r="I298" s="3" t="s">
        <v>6</v>
      </c>
      <c r="J298" s="3" t="s">
        <v>7</v>
      </c>
      <c r="K298" s="33"/>
      <c r="L298" s="27"/>
      <c r="M298" s="6"/>
      <c r="N298"/>
      <c r="S298" s="7"/>
      <c r="T298" s="7"/>
      <c r="U298" s="6"/>
      <c r="V298" s="6"/>
      <c r="W298" s="6"/>
      <c r="X298"/>
      <c r="AC298" s="7"/>
      <c r="AD298" s="7"/>
      <c r="AE298" s="6"/>
      <c r="AF298" s="6"/>
      <c r="AG298" s="6"/>
      <c r="AH298"/>
      <c r="AM298" s="7"/>
      <c r="AN298" s="7"/>
      <c r="AO298" s="6"/>
      <c r="AP298" s="6"/>
      <c r="AQ298" s="6"/>
      <c r="AR298"/>
      <c r="AW298" s="7"/>
      <c r="AX298" s="7"/>
      <c r="AY298" s="6"/>
      <c r="AZ298" s="6"/>
      <c r="BA298" s="6"/>
      <c r="BB298"/>
      <c r="BG298" s="7"/>
      <c r="BH298" s="7"/>
      <c r="BI298" s="6"/>
      <c r="BJ298" s="6"/>
      <c r="BK298" s="6"/>
      <c r="BL298"/>
      <c r="BQ298" s="7"/>
      <c r="BR298" s="7"/>
      <c r="BS298" s="6"/>
      <c r="BT298" s="6"/>
      <c r="BU298" s="6"/>
      <c r="BV298"/>
      <c r="CA298" s="7"/>
      <c r="CB298" s="7"/>
      <c r="CC298" s="6"/>
      <c r="CD298" s="6"/>
      <c r="CE298" s="6"/>
      <c r="CF298"/>
      <c r="CK298" s="7"/>
      <c r="CL298" s="7"/>
      <c r="CM298" s="6"/>
      <c r="CN298" s="6"/>
      <c r="CO298" s="6"/>
      <c r="CP298"/>
      <c r="CU298" s="7"/>
      <c r="CV298" s="7"/>
      <c r="CW298" s="6"/>
      <c r="CX298" s="6"/>
      <c r="CY298" s="6"/>
      <c r="CZ298"/>
      <c r="DE298" s="7"/>
      <c r="DF298" s="7"/>
      <c r="DG298" s="6"/>
      <c r="DH298" s="6"/>
      <c r="DI298" s="6"/>
      <c r="DJ298"/>
      <c r="DO298" s="7"/>
      <c r="DP298" s="7"/>
      <c r="DQ298" s="6"/>
      <c r="DR298" s="6"/>
      <c r="DS298" s="6"/>
      <c r="DT298"/>
      <c r="DY298" s="7"/>
      <c r="DZ298" s="7"/>
      <c r="EA298" s="6"/>
      <c r="EB298" s="6"/>
      <c r="EC298" s="6"/>
      <c r="ED298"/>
      <c r="EI298" s="7"/>
      <c r="EJ298" s="7"/>
      <c r="EK298" s="6"/>
      <c r="EL298" s="6"/>
      <c r="EM298" s="6"/>
      <c r="EN298"/>
      <c r="ES298" s="7"/>
      <c r="ET298" s="7"/>
      <c r="EU298" s="6"/>
      <c r="EV298" s="6"/>
      <c r="EW298" s="6"/>
      <c r="EX298"/>
      <c r="FC298" s="7"/>
      <c r="FD298" s="7"/>
      <c r="FE298" s="6"/>
      <c r="FF298" s="6"/>
      <c r="FG298" s="6"/>
      <c r="FH298"/>
      <c r="FM298" s="7"/>
      <c r="FN298" s="7"/>
      <c r="FO298" s="6"/>
      <c r="FP298" s="6"/>
      <c r="FQ298" s="6"/>
      <c r="FR298"/>
      <c r="FW298" s="7"/>
      <c r="FX298" s="7"/>
      <c r="FY298" s="6"/>
      <c r="FZ298" s="6"/>
      <c r="GA298" s="6"/>
      <c r="GB298"/>
      <c r="GG298" s="7"/>
      <c r="GH298" s="7"/>
      <c r="GI298" s="6"/>
      <c r="GJ298" s="6"/>
      <c r="GK298" s="6"/>
      <c r="GL298"/>
      <c r="GQ298" s="7"/>
      <c r="GR298" s="7"/>
      <c r="GS298" s="6"/>
      <c r="GT298" s="6"/>
      <c r="GU298" s="6"/>
      <c r="GV298"/>
      <c r="HA298" s="7"/>
      <c r="HB298" s="7"/>
      <c r="HC298" s="6"/>
      <c r="HD298" s="6"/>
      <c r="HE298" s="6"/>
      <c r="HF298"/>
      <c r="HK298" s="7"/>
      <c r="HL298" s="7"/>
      <c r="HM298" s="6"/>
      <c r="HN298" s="6"/>
      <c r="HO298" s="6"/>
      <c r="HP298"/>
      <c r="HU298" s="7"/>
      <c r="HV298" s="7"/>
      <c r="HW298" s="6"/>
      <c r="HX298" s="6"/>
      <c r="HY298" s="6"/>
      <c r="HZ298"/>
      <c r="IE298" s="7"/>
      <c r="IF298" s="7"/>
      <c r="IG298" s="6"/>
      <c r="IH298" s="6"/>
      <c r="II298" s="6"/>
      <c r="IJ298"/>
      <c r="IO298" s="7"/>
      <c r="IP298" s="7"/>
      <c r="IQ298" s="6"/>
      <c r="IR298" s="6"/>
      <c r="IS298" s="6"/>
      <c r="IT298"/>
    </row>
    <row r="299" spans="1:254" s="5" customFormat="1" hidden="1" x14ac:dyDescent="0.25">
      <c r="A299" t="s">
        <v>223</v>
      </c>
      <c r="B299"/>
      <c r="D299"/>
      <c r="J299"/>
      <c r="K299" s="33"/>
      <c r="L299" s="27"/>
      <c r="M299"/>
      <c r="N299"/>
      <c r="S299" s="7"/>
      <c r="T299" s="7"/>
      <c r="U299" s="6"/>
      <c r="V299" s="6"/>
      <c r="W299"/>
      <c r="X299"/>
      <c r="AC299" s="7"/>
      <c r="AD299" s="7"/>
      <c r="AE299" s="6"/>
      <c r="AF299" s="6"/>
      <c r="AG299"/>
      <c r="AH299"/>
      <c r="AM299" s="7"/>
      <c r="AN299" s="7"/>
      <c r="AO299" s="6"/>
      <c r="AP299" s="6"/>
      <c r="AQ299"/>
      <c r="AR299"/>
      <c r="AW299" s="7"/>
      <c r="AX299" s="7"/>
      <c r="AY299" s="6"/>
      <c r="AZ299" s="6"/>
      <c r="BA299"/>
      <c r="BB299"/>
      <c r="BG299" s="7"/>
      <c r="BH299" s="7"/>
      <c r="BI299" s="6"/>
      <c r="BJ299" s="6"/>
      <c r="BK299"/>
      <c r="BL299"/>
      <c r="BQ299" s="7"/>
      <c r="BR299" s="7"/>
      <c r="BS299" s="6"/>
      <c r="BT299" s="6"/>
      <c r="BU299"/>
      <c r="BV299"/>
      <c r="CA299" s="7"/>
      <c r="CB299" s="7"/>
      <c r="CC299" s="6"/>
      <c r="CD299" s="6"/>
      <c r="CE299"/>
      <c r="CF299"/>
      <c r="CK299" s="7"/>
      <c r="CL299" s="7"/>
      <c r="CM299" s="6"/>
      <c r="CN299" s="6"/>
      <c r="CO299"/>
      <c r="CP299"/>
      <c r="CU299" s="7"/>
      <c r="CV299" s="7"/>
      <c r="CW299" s="6"/>
      <c r="CX299" s="6"/>
      <c r="CY299"/>
      <c r="CZ299"/>
      <c r="DE299" s="7"/>
      <c r="DF299" s="7"/>
      <c r="DG299" s="6"/>
      <c r="DH299" s="6"/>
      <c r="DI299"/>
      <c r="DJ299"/>
      <c r="DO299" s="7"/>
      <c r="DP299" s="7"/>
      <c r="DQ299" s="6"/>
      <c r="DR299" s="6"/>
      <c r="DS299"/>
      <c r="DT299"/>
      <c r="DY299" s="7"/>
      <c r="DZ299" s="7"/>
      <c r="EA299" s="6"/>
      <c r="EB299" s="6"/>
      <c r="EC299"/>
      <c r="ED299"/>
      <c r="EI299" s="7"/>
      <c r="EJ299" s="7"/>
      <c r="EK299" s="6"/>
      <c r="EL299" s="6"/>
      <c r="EM299"/>
      <c r="EN299"/>
      <c r="ES299" s="7"/>
      <c r="ET299" s="7"/>
      <c r="EU299" s="6"/>
      <c r="EV299" s="6"/>
      <c r="EW299"/>
      <c r="EX299"/>
      <c r="FC299" s="7"/>
      <c r="FD299" s="7"/>
      <c r="FE299" s="6"/>
      <c r="FF299" s="6"/>
      <c r="FG299"/>
      <c r="FH299"/>
      <c r="FM299" s="7"/>
      <c r="FN299" s="7"/>
      <c r="FO299" s="6"/>
      <c r="FP299" s="6"/>
      <c r="FQ299"/>
      <c r="FR299"/>
      <c r="FW299" s="7"/>
      <c r="FX299" s="7"/>
      <c r="FY299" s="6"/>
      <c r="FZ299" s="6"/>
      <c r="GA299"/>
      <c r="GB299"/>
      <c r="GG299" s="7"/>
      <c r="GH299" s="7"/>
      <c r="GI299" s="6"/>
      <c r="GJ299" s="6"/>
      <c r="GK299"/>
      <c r="GL299"/>
      <c r="GQ299" s="7"/>
      <c r="GR299" s="7"/>
      <c r="GS299" s="6"/>
      <c r="GT299" s="6"/>
      <c r="GU299"/>
      <c r="GV299"/>
      <c r="HA299" s="7"/>
      <c r="HB299" s="7"/>
      <c r="HC299" s="6"/>
      <c r="HD299" s="6"/>
      <c r="HE299"/>
      <c r="HF299"/>
      <c r="HK299" s="7"/>
      <c r="HL299" s="7"/>
      <c r="HM299" s="6"/>
      <c r="HN299" s="6"/>
      <c r="HO299"/>
      <c r="HP299"/>
      <c r="HU299" s="7"/>
      <c r="HV299" s="7"/>
      <c r="HW299" s="6"/>
      <c r="HX299" s="6"/>
      <c r="HY299"/>
      <c r="HZ299"/>
      <c r="IE299" s="7"/>
      <c r="IF299" s="7"/>
      <c r="IG299" s="6"/>
      <c r="IH299" s="6"/>
      <c r="II299"/>
      <c r="IJ299"/>
      <c r="IO299" s="7"/>
      <c r="IP299" s="7"/>
      <c r="IQ299" s="6"/>
      <c r="IR299" s="6"/>
      <c r="IS299"/>
      <c r="IT299"/>
    </row>
    <row r="300" spans="1:254" s="5" customFormat="1" hidden="1" x14ac:dyDescent="0.25">
      <c r="A300" t="s">
        <v>9</v>
      </c>
      <c r="B300"/>
      <c r="F300" s="5">
        <v>19.559999999999999</v>
      </c>
      <c r="G300" s="5">
        <v>15.45</v>
      </c>
      <c r="H300" s="5">
        <v>16.100000000000001</v>
      </c>
      <c r="I300" s="5">
        <v>22.03</v>
      </c>
      <c r="J300">
        <f>I300/0.9</f>
        <v>24.477777777777778</v>
      </c>
      <c r="K300" s="33"/>
      <c r="L300" s="27"/>
      <c r="M300"/>
      <c r="N300"/>
      <c r="S300" s="7"/>
      <c r="T300" s="7"/>
      <c r="U300" s="6"/>
      <c r="V300" s="6"/>
      <c r="W300"/>
      <c r="X300"/>
      <c r="AC300" s="7"/>
      <c r="AD300" s="7"/>
      <c r="AE300" s="6"/>
      <c r="AF300" s="6"/>
      <c r="AG300"/>
      <c r="AH300"/>
      <c r="AM300" s="7"/>
      <c r="AN300" s="7"/>
      <c r="AO300" s="6"/>
      <c r="AP300" s="6"/>
      <c r="AQ300"/>
      <c r="AR300"/>
      <c r="AW300" s="7"/>
      <c r="AX300" s="7"/>
      <c r="AY300" s="6"/>
      <c r="AZ300" s="6"/>
      <c r="BA300"/>
      <c r="BB300"/>
      <c r="BG300" s="7"/>
      <c r="BH300" s="7"/>
      <c r="BI300" s="6"/>
      <c r="BJ300" s="6"/>
      <c r="BK300"/>
      <c r="BL300"/>
      <c r="BQ300" s="7"/>
      <c r="BR300" s="7"/>
      <c r="BS300" s="6"/>
      <c r="BT300" s="6"/>
      <c r="BU300"/>
      <c r="BV300"/>
      <c r="CA300" s="7"/>
      <c r="CB300" s="7"/>
      <c r="CC300" s="6"/>
      <c r="CD300" s="6"/>
      <c r="CE300"/>
      <c r="CF300"/>
      <c r="CK300" s="7"/>
      <c r="CL300" s="7"/>
      <c r="CM300" s="6"/>
      <c r="CN300" s="6"/>
      <c r="CO300"/>
      <c r="CP300"/>
      <c r="CU300" s="7"/>
      <c r="CV300" s="7"/>
      <c r="CW300" s="6"/>
      <c r="CX300" s="6"/>
      <c r="CY300"/>
      <c r="CZ300"/>
      <c r="DE300" s="7"/>
      <c r="DF300" s="7"/>
      <c r="DG300" s="6"/>
      <c r="DH300" s="6"/>
      <c r="DI300"/>
      <c r="DJ300"/>
      <c r="DO300" s="7"/>
      <c r="DP300" s="7"/>
      <c r="DQ300" s="6"/>
      <c r="DR300" s="6"/>
      <c r="DS300"/>
      <c r="DT300"/>
      <c r="DY300" s="7"/>
      <c r="DZ300" s="7"/>
      <c r="EA300" s="6"/>
      <c r="EB300" s="6"/>
      <c r="EC300"/>
      <c r="ED300"/>
      <c r="EI300" s="7"/>
      <c r="EJ300" s="7"/>
      <c r="EK300" s="6"/>
      <c r="EL300" s="6"/>
      <c r="EM300"/>
      <c r="EN300"/>
      <c r="ES300" s="7"/>
      <c r="ET300" s="7"/>
      <c r="EU300" s="6"/>
      <c r="EV300" s="6"/>
      <c r="EW300"/>
      <c r="EX300"/>
      <c r="FC300" s="7"/>
      <c r="FD300" s="7"/>
      <c r="FE300" s="6"/>
      <c r="FF300" s="6"/>
      <c r="FG300"/>
      <c r="FH300"/>
      <c r="FM300" s="7"/>
      <c r="FN300" s="7"/>
      <c r="FO300" s="6"/>
      <c r="FP300" s="6"/>
      <c r="FQ300"/>
      <c r="FR300"/>
      <c r="FW300" s="7"/>
      <c r="FX300" s="7"/>
      <c r="FY300" s="6"/>
      <c r="FZ300" s="6"/>
      <c r="GA300"/>
      <c r="GB300"/>
      <c r="GG300" s="7"/>
      <c r="GH300" s="7"/>
      <c r="GI300" s="6"/>
      <c r="GJ300" s="6"/>
      <c r="GK300"/>
      <c r="GL300"/>
      <c r="GQ300" s="7"/>
      <c r="GR300" s="7"/>
      <c r="GS300" s="6"/>
      <c r="GT300" s="6"/>
      <c r="GU300"/>
      <c r="GV300"/>
      <c r="HA300" s="7"/>
      <c r="HB300" s="7"/>
      <c r="HC300" s="6"/>
      <c r="HD300" s="6"/>
      <c r="HE300"/>
      <c r="HF300"/>
      <c r="HK300" s="7"/>
      <c r="HL300" s="7"/>
      <c r="HM300" s="6"/>
      <c r="HN300" s="6"/>
      <c r="HO300"/>
      <c r="HP300"/>
      <c r="HU300" s="7"/>
      <c r="HV300" s="7"/>
      <c r="HW300" s="6"/>
      <c r="HX300" s="6"/>
      <c r="HY300"/>
      <c r="HZ300"/>
      <c r="IE300" s="7"/>
      <c r="IF300" s="7"/>
      <c r="IG300" s="6"/>
      <c r="IH300" s="6"/>
      <c r="II300"/>
      <c r="IJ300"/>
      <c r="IO300" s="7"/>
      <c r="IP300" s="7"/>
      <c r="IQ300" s="6"/>
      <c r="IR300" s="6"/>
      <c r="IS300"/>
      <c r="IT300"/>
    </row>
    <row r="301" spans="1:254" s="5" customFormat="1" hidden="1" x14ac:dyDescent="0.25">
      <c r="A301" s="6" t="s">
        <v>12</v>
      </c>
      <c r="B301">
        <v>301</v>
      </c>
      <c r="F301" s="5" t="e">
        <f>$B301/#REF!</f>
        <v>#REF!</v>
      </c>
      <c r="G301" s="5">
        <v>19.18</v>
      </c>
      <c r="H301">
        <v>20.190000000000001</v>
      </c>
      <c r="I301">
        <v>23.67</v>
      </c>
      <c r="J301">
        <v>25.17</v>
      </c>
      <c r="K301" s="33"/>
      <c r="L301" s="27"/>
      <c r="M301"/>
      <c r="N301"/>
      <c r="S301" s="7"/>
      <c r="T301" s="7"/>
      <c r="U301" s="6"/>
      <c r="V301" s="6"/>
      <c r="W301"/>
      <c r="X301"/>
      <c r="AC301" s="7"/>
      <c r="AD301" s="7"/>
      <c r="AE301" s="6"/>
      <c r="AF301" s="6"/>
      <c r="AG301"/>
      <c r="AH301"/>
      <c r="AM301" s="7"/>
      <c r="AN301" s="7"/>
      <c r="AO301" s="6"/>
      <c r="AP301" s="6"/>
      <c r="AQ301"/>
      <c r="AR301"/>
      <c r="AW301" s="7"/>
      <c r="AX301" s="7"/>
      <c r="AY301" s="6"/>
      <c r="AZ301" s="6"/>
      <c r="BA301"/>
      <c r="BB301"/>
      <c r="BG301" s="7"/>
      <c r="BH301" s="7"/>
      <c r="BI301" s="6"/>
      <c r="BJ301" s="6"/>
      <c r="BK301"/>
      <c r="BL301"/>
      <c r="BQ301" s="7"/>
      <c r="BR301" s="7"/>
      <c r="BS301" s="6"/>
      <c r="BT301" s="6"/>
      <c r="BU301"/>
      <c r="BV301"/>
      <c r="CA301" s="7"/>
      <c r="CB301" s="7"/>
      <c r="CC301" s="6"/>
      <c r="CD301" s="6"/>
      <c r="CE301"/>
      <c r="CF301"/>
      <c r="CK301" s="7"/>
      <c r="CL301" s="7"/>
      <c r="CM301" s="6"/>
      <c r="CN301" s="6"/>
      <c r="CO301"/>
      <c r="CP301"/>
      <c r="CU301" s="7"/>
      <c r="CV301" s="7"/>
      <c r="CW301" s="6"/>
      <c r="CX301" s="6"/>
      <c r="CY301"/>
      <c r="CZ301"/>
      <c r="DE301" s="7"/>
      <c r="DF301" s="7"/>
      <c r="DG301" s="6"/>
      <c r="DH301" s="6"/>
      <c r="DI301"/>
      <c r="DJ301"/>
      <c r="DO301" s="7"/>
      <c r="DP301" s="7"/>
      <c r="DQ301" s="6"/>
      <c r="DR301" s="6"/>
      <c r="DS301"/>
      <c r="DT301"/>
      <c r="DY301" s="7"/>
      <c r="DZ301" s="7"/>
      <c r="EA301" s="6"/>
      <c r="EB301" s="6"/>
      <c r="EC301"/>
      <c r="ED301"/>
      <c r="EI301" s="7"/>
      <c r="EJ301" s="7"/>
      <c r="EK301" s="6"/>
      <c r="EL301" s="6"/>
      <c r="EM301"/>
      <c r="EN301"/>
      <c r="ES301" s="7"/>
      <c r="ET301" s="7"/>
      <c r="EU301" s="6"/>
      <c r="EV301" s="6"/>
      <c r="EW301"/>
      <c r="EX301"/>
      <c r="FC301" s="7"/>
      <c r="FD301" s="7"/>
      <c r="FE301" s="6"/>
      <c r="FF301" s="6"/>
      <c r="FG301"/>
      <c r="FH301"/>
      <c r="FM301" s="7"/>
      <c r="FN301" s="7"/>
      <c r="FO301" s="6"/>
      <c r="FP301" s="6"/>
      <c r="FQ301"/>
      <c r="FR301"/>
      <c r="FW301" s="7"/>
      <c r="FX301" s="7"/>
      <c r="FY301" s="6"/>
      <c r="FZ301" s="6"/>
      <c r="GA301"/>
      <c r="GB301"/>
      <c r="GG301" s="7"/>
      <c r="GH301" s="7"/>
      <c r="GI301" s="6"/>
      <c r="GJ301" s="6"/>
      <c r="GK301"/>
      <c r="GL301"/>
      <c r="GQ301" s="7"/>
      <c r="GR301" s="7"/>
      <c r="GS301" s="6"/>
      <c r="GT301" s="6"/>
      <c r="GU301"/>
      <c r="GV301"/>
      <c r="HA301" s="7"/>
      <c r="HB301" s="7"/>
      <c r="HC301" s="6"/>
      <c r="HD301" s="6"/>
      <c r="HE301"/>
      <c r="HF301"/>
      <c r="HK301" s="7"/>
      <c r="HL301" s="7"/>
      <c r="HM301" s="6"/>
      <c r="HN301" s="6"/>
      <c r="HO301"/>
      <c r="HP301"/>
      <c r="HU301" s="7"/>
      <c r="HV301" s="7"/>
      <c r="HW301" s="6"/>
      <c r="HX301" s="6"/>
      <c r="HY301"/>
      <c r="HZ301"/>
      <c r="IE301" s="7"/>
      <c r="IF301" s="7"/>
      <c r="IG301" s="6"/>
      <c r="IH301" s="6"/>
      <c r="II301"/>
      <c r="IJ301"/>
      <c r="IO301" s="7"/>
      <c r="IP301" s="7"/>
      <c r="IQ301" s="6"/>
      <c r="IR301" s="6"/>
      <c r="IS301"/>
      <c r="IT301"/>
    </row>
    <row r="302" spans="1:254" s="5" customFormat="1" hidden="1" x14ac:dyDescent="0.25">
      <c r="A302">
        <v>7</v>
      </c>
      <c r="B302">
        <v>413</v>
      </c>
      <c r="F302" s="5" t="e">
        <f>$B302/#REF!</f>
        <v>#REF!</v>
      </c>
      <c r="G302" s="5">
        <v>18.739999999999998</v>
      </c>
      <c r="H302">
        <v>19.190000000000001</v>
      </c>
      <c r="I302">
        <v>23.27</v>
      </c>
      <c r="J302">
        <v>24.96</v>
      </c>
      <c r="K302" s="33"/>
      <c r="L302" s="27"/>
      <c r="M302"/>
      <c r="N302"/>
      <c r="S302" s="7"/>
      <c r="T302" s="7"/>
      <c r="U302" s="6"/>
      <c r="V302" s="6"/>
      <c r="W302"/>
      <c r="X302"/>
      <c r="AC302" s="7"/>
      <c r="AD302" s="7"/>
      <c r="AE302" s="6"/>
      <c r="AF302" s="6"/>
      <c r="AG302"/>
      <c r="AH302"/>
      <c r="AM302" s="7"/>
      <c r="AN302" s="7"/>
      <c r="AO302" s="6"/>
      <c r="AP302" s="6"/>
      <c r="AQ302"/>
      <c r="AR302"/>
      <c r="AW302" s="7"/>
      <c r="AX302" s="7"/>
      <c r="AY302" s="6"/>
      <c r="AZ302" s="6"/>
      <c r="BA302"/>
      <c r="BB302"/>
      <c r="BG302" s="7"/>
      <c r="BH302" s="7"/>
      <c r="BI302" s="6"/>
      <c r="BJ302" s="6"/>
      <c r="BK302"/>
      <c r="BL302"/>
      <c r="BQ302" s="7"/>
      <c r="BR302" s="7"/>
      <c r="BS302" s="6"/>
      <c r="BT302" s="6"/>
      <c r="BU302"/>
      <c r="BV302"/>
      <c r="CA302" s="7"/>
      <c r="CB302" s="7"/>
      <c r="CC302" s="6"/>
      <c r="CD302" s="6"/>
      <c r="CE302"/>
      <c r="CF302"/>
      <c r="CK302" s="7"/>
      <c r="CL302" s="7"/>
      <c r="CM302" s="6"/>
      <c r="CN302" s="6"/>
      <c r="CO302"/>
      <c r="CP302"/>
      <c r="CU302" s="7"/>
      <c r="CV302" s="7"/>
      <c r="CW302" s="6"/>
      <c r="CX302" s="6"/>
      <c r="CY302"/>
      <c r="CZ302"/>
      <c r="DE302" s="7"/>
      <c r="DF302" s="7"/>
      <c r="DG302" s="6"/>
      <c r="DH302" s="6"/>
      <c r="DI302"/>
      <c r="DJ302"/>
      <c r="DO302" s="7"/>
      <c r="DP302" s="7"/>
      <c r="DQ302" s="6"/>
      <c r="DR302" s="6"/>
      <c r="DS302"/>
      <c r="DT302"/>
      <c r="DY302" s="7"/>
      <c r="DZ302" s="7"/>
      <c r="EA302" s="6"/>
      <c r="EB302" s="6"/>
      <c r="EC302"/>
      <c r="ED302"/>
      <c r="EI302" s="7"/>
      <c r="EJ302" s="7"/>
      <c r="EK302" s="6"/>
      <c r="EL302" s="6"/>
      <c r="EM302"/>
      <c r="EN302"/>
      <c r="ES302" s="7"/>
      <c r="ET302" s="7"/>
      <c r="EU302" s="6"/>
      <c r="EV302" s="6"/>
      <c r="EW302"/>
      <c r="EX302"/>
      <c r="FC302" s="7"/>
      <c r="FD302" s="7"/>
      <c r="FE302" s="6"/>
      <c r="FF302" s="6"/>
      <c r="FG302"/>
      <c r="FH302"/>
      <c r="FM302" s="7"/>
      <c r="FN302" s="7"/>
      <c r="FO302" s="6"/>
      <c r="FP302" s="6"/>
      <c r="FQ302"/>
      <c r="FR302"/>
      <c r="FW302" s="7"/>
      <c r="FX302" s="7"/>
      <c r="FY302" s="6"/>
      <c r="FZ302" s="6"/>
      <c r="GA302"/>
      <c r="GB302"/>
      <c r="GG302" s="7"/>
      <c r="GH302" s="7"/>
      <c r="GI302" s="6"/>
      <c r="GJ302" s="6"/>
      <c r="GK302"/>
      <c r="GL302"/>
      <c r="GQ302" s="7"/>
      <c r="GR302" s="7"/>
      <c r="GS302" s="6"/>
      <c r="GT302" s="6"/>
      <c r="GU302"/>
      <c r="GV302"/>
      <c r="HA302" s="7"/>
      <c r="HB302" s="7"/>
      <c r="HC302" s="6"/>
      <c r="HD302" s="6"/>
      <c r="HE302"/>
      <c r="HF302"/>
      <c r="HK302" s="7"/>
      <c r="HL302" s="7"/>
      <c r="HM302" s="6"/>
      <c r="HN302" s="6"/>
      <c r="HO302"/>
      <c r="HP302"/>
      <c r="HU302" s="7"/>
      <c r="HV302" s="7"/>
      <c r="HW302" s="6"/>
      <c r="HX302" s="6"/>
      <c r="HY302"/>
      <c r="HZ302"/>
      <c r="IE302" s="7"/>
      <c r="IF302" s="7"/>
      <c r="IG302" s="6"/>
      <c r="IH302" s="6"/>
      <c r="II302"/>
      <c r="IJ302"/>
      <c r="IO302" s="7"/>
      <c r="IP302" s="7"/>
      <c r="IQ302" s="6"/>
      <c r="IR302" s="6"/>
      <c r="IS302"/>
      <c r="IT302"/>
    </row>
    <row r="303" spans="1:254" s="5" customFormat="1" hidden="1" x14ac:dyDescent="0.25">
      <c r="A303">
        <v>8</v>
      </c>
      <c r="B303">
        <v>529</v>
      </c>
      <c r="F303" s="5" t="e">
        <f>$B303/#REF!</f>
        <v>#REF!</v>
      </c>
      <c r="G303" s="5">
        <v>17.78</v>
      </c>
      <c r="H303">
        <v>18.29</v>
      </c>
      <c r="I303">
        <v>22.92</v>
      </c>
      <c r="J303">
        <v>24.83</v>
      </c>
      <c r="K303" s="33"/>
      <c r="L303" s="27"/>
      <c r="M303"/>
      <c r="N303"/>
      <c r="S303" s="7"/>
      <c r="T303" s="7"/>
      <c r="U303" s="6"/>
      <c r="V303" s="6"/>
      <c r="W303"/>
      <c r="X303"/>
      <c r="AC303" s="7"/>
      <c r="AD303" s="7"/>
      <c r="AE303" s="6"/>
      <c r="AF303" s="6"/>
      <c r="AG303"/>
      <c r="AH303"/>
      <c r="AM303" s="7"/>
      <c r="AN303" s="7"/>
      <c r="AO303" s="6"/>
      <c r="AP303" s="6"/>
      <c r="AQ303"/>
      <c r="AR303"/>
      <c r="AW303" s="7"/>
      <c r="AX303" s="7"/>
      <c r="AY303" s="6"/>
      <c r="AZ303" s="6"/>
      <c r="BA303"/>
      <c r="BB303"/>
      <c r="BG303" s="7"/>
      <c r="BH303" s="7"/>
      <c r="BI303" s="6"/>
      <c r="BJ303" s="6"/>
      <c r="BK303"/>
      <c r="BL303"/>
      <c r="BQ303" s="7"/>
      <c r="BR303" s="7"/>
      <c r="BS303" s="6"/>
      <c r="BT303" s="6"/>
      <c r="BU303"/>
      <c r="BV303"/>
      <c r="CA303" s="7"/>
      <c r="CB303" s="7"/>
      <c r="CC303" s="6"/>
      <c r="CD303" s="6"/>
      <c r="CE303"/>
      <c r="CF303"/>
      <c r="CK303" s="7"/>
      <c r="CL303" s="7"/>
      <c r="CM303" s="6"/>
      <c r="CN303" s="6"/>
      <c r="CO303"/>
      <c r="CP303"/>
      <c r="CU303" s="7"/>
      <c r="CV303" s="7"/>
      <c r="CW303" s="6"/>
      <c r="CX303" s="6"/>
      <c r="CY303"/>
      <c r="CZ303"/>
      <c r="DE303" s="7"/>
      <c r="DF303" s="7"/>
      <c r="DG303" s="6"/>
      <c r="DH303" s="6"/>
      <c r="DI303"/>
      <c r="DJ303"/>
      <c r="DO303" s="7"/>
      <c r="DP303" s="7"/>
      <c r="DQ303" s="6"/>
      <c r="DR303" s="6"/>
      <c r="DS303"/>
      <c r="DT303"/>
      <c r="DY303" s="7"/>
      <c r="DZ303" s="7"/>
      <c r="EA303" s="6"/>
      <c r="EB303" s="6"/>
      <c r="EC303"/>
      <c r="ED303"/>
      <c r="EI303" s="7"/>
      <c r="EJ303" s="7"/>
      <c r="EK303" s="6"/>
      <c r="EL303" s="6"/>
      <c r="EM303"/>
      <c r="EN303"/>
      <c r="ES303" s="7"/>
      <c r="ET303" s="7"/>
      <c r="EU303" s="6"/>
      <c r="EV303" s="6"/>
      <c r="EW303"/>
      <c r="EX303"/>
      <c r="FC303" s="7"/>
      <c r="FD303" s="7"/>
      <c r="FE303" s="6"/>
      <c r="FF303" s="6"/>
      <c r="FG303"/>
      <c r="FH303"/>
      <c r="FM303" s="7"/>
      <c r="FN303" s="7"/>
      <c r="FO303" s="6"/>
      <c r="FP303" s="6"/>
      <c r="FQ303"/>
      <c r="FR303"/>
      <c r="FW303" s="7"/>
      <c r="FX303" s="7"/>
      <c r="FY303" s="6"/>
      <c r="FZ303" s="6"/>
      <c r="GA303"/>
      <c r="GB303"/>
      <c r="GG303" s="7"/>
      <c r="GH303" s="7"/>
      <c r="GI303" s="6"/>
      <c r="GJ303" s="6"/>
      <c r="GK303"/>
      <c r="GL303"/>
      <c r="GQ303" s="7"/>
      <c r="GR303" s="7"/>
      <c r="GS303" s="6"/>
      <c r="GT303" s="6"/>
      <c r="GU303"/>
      <c r="GV303"/>
      <c r="HA303" s="7"/>
      <c r="HB303" s="7"/>
      <c r="HC303" s="6"/>
      <c r="HD303" s="6"/>
      <c r="HE303"/>
      <c r="HF303"/>
      <c r="HK303" s="7"/>
      <c r="HL303" s="7"/>
      <c r="HM303" s="6"/>
      <c r="HN303" s="6"/>
      <c r="HO303"/>
      <c r="HP303"/>
      <c r="HU303" s="7"/>
      <c r="HV303" s="7"/>
      <c r="HW303" s="6"/>
      <c r="HX303" s="6"/>
      <c r="HY303"/>
      <c r="HZ303"/>
      <c r="IE303" s="7"/>
      <c r="IF303" s="7"/>
      <c r="IG303" s="6"/>
      <c r="IH303" s="6"/>
      <c r="II303"/>
      <c r="IJ303"/>
      <c r="IO303" s="7"/>
      <c r="IP303" s="7"/>
      <c r="IQ303" s="6"/>
      <c r="IR303" s="6"/>
      <c r="IS303"/>
      <c r="IT303"/>
    </row>
    <row r="304" spans="1:254" hidden="1" x14ac:dyDescent="0.25">
      <c r="A304">
        <v>9</v>
      </c>
      <c r="B304">
        <v>647</v>
      </c>
      <c r="C304" s="5"/>
      <c r="D304" s="5"/>
      <c r="E304" s="5"/>
      <c r="F304" s="5" t="e">
        <f>$B304/#REF!</f>
        <v>#REF!</v>
      </c>
      <c r="G304" s="5">
        <v>16.91</v>
      </c>
      <c r="H304">
        <v>17.48</v>
      </c>
      <c r="I304">
        <v>22.59</v>
      </c>
      <c r="J304">
        <v>24.72</v>
      </c>
    </row>
    <row r="305" spans="1:11" hidden="1" x14ac:dyDescent="0.25">
      <c r="A305">
        <v>10</v>
      </c>
      <c r="B305">
        <v>765</v>
      </c>
      <c r="C305" s="5"/>
      <c r="D305" s="5"/>
      <c r="E305" s="5"/>
      <c r="F305" s="5" t="e">
        <f>$B305/#REF!</f>
        <v>#REF!</v>
      </c>
      <c r="G305" s="5">
        <v>16.12</v>
      </c>
      <c r="H305">
        <v>16.73</v>
      </c>
      <c r="I305">
        <v>22.29</v>
      </c>
      <c r="J305">
        <v>24.62</v>
      </c>
    </row>
    <row r="306" spans="1:11" hidden="1" x14ac:dyDescent="0.25">
      <c r="A306">
        <v>11</v>
      </c>
      <c r="B306">
        <v>888</v>
      </c>
      <c r="C306" s="5"/>
      <c r="D306" s="5"/>
      <c r="E306" s="5"/>
      <c r="F306" s="5" t="e">
        <f>$B306/#REF!</f>
        <v>#REF!</v>
      </c>
      <c r="G306" s="5">
        <v>15.35</v>
      </c>
      <c r="H306">
        <v>16.010000000000002</v>
      </c>
      <c r="I306">
        <v>21.99</v>
      </c>
      <c r="J306">
        <v>24.48</v>
      </c>
      <c r="K306" s="38"/>
    </row>
    <row r="307" spans="1:11" hidden="1" x14ac:dyDescent="0.25">
      <c r="A307" t="s">
        <v>222</v>
      </c>
      <c r="B307" t="s">
        <v>14</v>
      </c>
      <c r="C307" s="5"/>
      <c r="D307" s="5"/>
      <c r="E307" s="5"/>
      <c r="F307" s="5"/>
      <c r="G307" s="7"/>
      <c r="I307" s="7" t="s">
        <v>14</v>
      </c>
      <c r="K307" s="38"/>
    </row>
    <row r="308" spans="1:11" hidden="1" x14ac:dyDescent="0.25">
      <c r="A308" t="s">
        <v>9</v>
      </c>
      <c r="C308" s="5"/>
      <c r="D308" s="5"/>
      <c r="E308" s="5"/>
      <c r="F308" s="5" t="s">
        <v>14</v>
      </c>
      <c r="G308" s="7">
        <v>57.94</v>
      </c>
      <c r="H308" s="6" t="s">
        <v>224</v>
      </c>
      <c r="I308" s="6">
        <v>64.739999999999995</v>
      </c>
      <c r="J308" s="6" t="s">
        <v>225</v>
      </c>
      <c r="K308" s="38"/>
    </row>
    <row r="309" spans="1:11" hidden="1" x14ac:dyDescent="0.25">
      <c r="A309" s="6" t="s">
        <v>12</v>
      </c>
      <c r="B309">
        <v>301</v>
      </c>
      <c r="C309" s="5"/>
      <c r="D309" s="5"/>
      <c r="E309" s="5"/>
      <c r="F309" s="5"/>
      <c r="G309" s="7">
        <v>74.06</v>
      </c>
      <c r="H309" s="7">
        <v>77.8</v>
      </c>
      <c r="I309" s="6" t="s">
        <v>226</v>
      </c>
      <c r="J309" s="6">
        <v>86.14</v>
      </c>
      <c r="K309" s="38"/>
    </row>
    <row r="310" spans="1:11" hidden="1" x14ac:dyDescent="0.25">
      <c r="A310">
        <v>7</v>
      </c>
      <c r="B310">
        <v>413</v>
      </c>
      <c r="C310" s="5"/>
      <c r="D310" s="5"/>
      <c r="E310" s="5"/>
      <c r="F310" s="5"/>
      <c r="G310" s="7">
        <v>70.11</v>
      </c>
      <c r="H310" s="7">
        <v>74.010000000000005</v>
      </c>
      <c r="I310" s="6" t="s">
        <v>227</v>
      </c>
      <c r="J310" s="6">
        <v>84.31</v>
      </c>
      <c r="K310" s="38"/>
    </row>
    <row r="311" spans="1:11" hidden="1" x14ac:dyDescent="0.25">
      <c r="A311">
        <v>8</v>
      </c>
      <c r="B311">
        <v>529</v>
      </c>
      <c r="C311" s="5"/>
      <c r="D311" s="5"/>
      <c r="E311" s="5"/>
      <c r="F311" s="5"/>
      <c r="G311" s="7">
        <v>66.58</v>
      </c>
      <c r="H311" s="7">
        <v>70.97</v>
      </c>
      <c r="I311" s="6" t="s">
        <v>228</v>
      </c>
      <c r="J311" s="6">
        <v>82.57</v>
      </c>
      <c r="K311" s="38"/>
    </row>
    <row r="312" spans="1:11" hidden="1" x14ac:dyDescent="0.25">
      <c r="A312">
        <v>9</v>
      </c>
      <c r="B312">
        <v>647</v>
      </c>
      <c r="C312" s="5"/>
      <c r="D312" s="5"/>
      <c r="E312" s="5"/>
      <c r="F312" s="5"/>
      <c r="G312" s="7">
        <v>63.37</v>
      </c>
      <c r="H312" s="7">
        <v>68.209999999999994</v>
      </c>
      <c r="I312" s="6" t="s">
        <v>229</v>
      </c>
      <c r="J312" s="6">
        <v>81.08</v>
      </c>
      <c r="K312" s="38"/>
    </row>
    <row r="313" spans="1:11" hidden="1" x14ac:dyDescent="0.25">
      <c r="A313">
        <v>10</v>
      </c>
      <c r="B313">
        <v>765</v>
      </c>
      <c r="C313" s="5"/>
      <c r="D313" s="5"/>
      <c r="E313" s="5"/>
      <c r="F313" s="5"/>
      <c r="G313" s="7">
        <v>60.43</v>
      </c>
      <c r="H313" s="7">
        <v>65.69</v>
      </c>
      <c r="I313" s="6" t="s">
        <v>230</v>
      </c>
      <c r="J313" s="6">
        <v>79.66</v>
      </c>
    </row>
    <row r="314" spans="1:11" hidden="1" x14ac:dyDescent="0.25">
      <c r="A314">
        <v>11</v>
      </c>
      <c r="B314">
        <v>888</v>
      </c>
      <c r="C314" s="5"/>
      <c r="D314" s="5"/>
      <c r="E314" s="5"/>
      <c r="F314" s="5"/>
      <c r="G314" s="7">
        <v>57.59</v>
      </c>
      <c r="H314" s="7">
        <v>63.28</v>
      </c>
      <c r="I314" s="6" t="s">
        <v>231</v>
      </c>
      <c r="J314" s="6">
        <v>78.3</v>
      </c>
    </row>
    <row r="315" spans="1:11" hidden="1" x14ac:dyDescent="0.25"/>
    <row r="316" spans="1:11" hidden="1" x14ac:dyDescent="0.25"/>
    <row r="317" spans="1:11" hidden="1" x14ac:dyDescent="0.25"/>
    <row r="318" spans="1:11" hidden="1" x14ac:dyDescent="0.25"/>
    <row r="319" spans="1:11" hidden="1" x14ac:dyDescent="0.25"/>
    <row r="320" spans="1:11"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sheetData>
  <phoneticPr fontId="6" type="noConversion"/>
  <pageMargins left="0.23622047244094491" right="0.23622047244094491" top="0.35433070866141736" bottom="0.35433070866141736" header="0.31496062992125984" footer="0.31496062992125984"/>
  <pageSetup paperSize="9" scale="86" firstPageNumber="0"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F7096-4D7E-426F-8818-CBC6155DAD81}">
  <dimension ref="A1"/>
  <sheetViews>
    <sheetView workbookViewId="0"/>
  </sheetViews>
  <sheetFormatPr defaultRowHeight="13.2" x14ac:dyDescent="0.25"/>
  <sheetData>
    <row r="1" spans="1:1" x14ac:dyDescent="0.25">
      <c r="A1" t="s">
        <v>346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Puntenberekening</vt:lpstr>
      <vt:lpstr>Tabellen</vt:lpstr>
      <vt:lpstr>Puntenberekening lijst L - M</vt:lpstr>
      <vt:lpstr>KAVVV Records &amp; age-grading</vt:lpstr>
      <vt:lpstr>Voorbeelden</vt:lpstr>
      <vt:lpstr>Beveiliging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Guy Van Damme</dc:creator>
  <cp:lastModifiedBy>Herman</cp:lastModifiedBy>
  <cp:lastPrinted>2022-08-11T18:40:54Z</cp:lastPrinted>
  <dcterms:created xsi:type="dcterms:W3CDTF">2022-07-25T14:14:33Z</dcterms:created>
  <dcterms:modified xsi:type="dcterms:W3CDTF">2023-03-13T19:47:01Z</dcterms:modified>
</cp:coreProperties>
</file>